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-15" windowWidth="16350" windowHeight="11475" tabRatio="973"/>
  </bookViews>
  <sheets>
    <sheet name="CATEGORY PAGE" sheetId="105" r:id="rId1"/>
    <sheet name="REVENU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 &amp; COMM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PAYROLL" sheetId="151" r:id="rId25"/>
    <sheet name="642 INDIV PAYROLL" sheetId="128" state="hidden" r:id="rId26"/>
    <sheet name="642 FF RATES" sheetId="131" r:id="rId27"/>
    <sheet name="642 LONGEVITY" sheetId="155" r:id="rId28"/>
    <sheet name="642 CERT PAY" sheetId="144" r:id="rId29"/>
    <sheet name="643 RECOGNITION" sheetId="133" r:id="rId30"/>
    <sheet name="644 CERTIFICATIONS" sheetId="132" r:id="rId31"/>
    <sheet name="645 RECRUITMENT" sheetId="136" r:id="rId32"/>
    <sheet name="651 BLDG GROUND MAINT" sheetId="74" r:id="rId33"/>
    <sheet name="652 OFFICE SUPPLIES" sheetId="77" r:id="rId34"/>
    <sheet name="653 STATION SUPPLIES" sheetId="75" r:id="rId35"/>
    <sheet name="654 BANK FEES" sheetId="80" r:id="rId36"/>
    <sheet name="655 DUES AND SUBSCRIPTIONS" sheetId="79" r:id="rId37"/>
    <sheet name="656 INFORMATION TECHNOLOGY" sheetId="88" r:id="rId38"/>
    <sheet name="657 POSTAGE" sheetId="86" r:id="rId39"/>
    <sheet name="658 PROP &amp; LIABILITY" sheetId="135" r:id="rId40"/>
    <sheet name="659 PROFESSIONAL SVCS" sheetId="85" r:id="rId41"/>
    <sheet name="660 PUBLIC NOTICES" sheetId="83" r:id="rId42"/>
    <sheet name="661 TELEPHONE" sheetId="15" r:id="rId43"/>
    <sheet name="662 UTILITIES" sheetId="16" r:id="rId44"/>
    <sheet name="663 BOND DEBT SVC" sheetId="90" r:id="rId45"/>
    <sheet name="664 TCESD COMPENSATION" sheetId="101" r:id="rId46"/>
    <sheet name="665 GRANT MATCHING" sheetId="137" r:id="rId47"/>
    <sheet name="666 CONTRACT SERVICES" sheetId="139" state="hidden" r:id="rId48"/>
    <sheet name="671 PREVENTION" sheetId="134" r:id="rId49"/>
    <sheet name="672 PUBLIC EDUCATION" sheetId="102" r:id="rId50"/>
  </sheets>
  <definedNames>
    <definedName name="_xlnm._FilterDatabase" localSheetId="21" hidden="1">'635 EMT CERT COURSE'!$A$6:$C$11</definedName>
    <definedName name="_xlnm.Print_Area" localSheetId="27">'642 LONGEVITY'!$A$1:$M$24</definedName>
    <definedName name="_xlnm.Print_Titles" localSheetId="18">'632 FIRE &amp; RESCUE TRAINING'!$1:$2</definedName>
  </definedNames>
  <calcPr calcId="125725"/>
</workbook>
</file>

<file path=xl/calcChain.xml><?xml version="1.0" encoding="utf-8"?>
<calcChain xmlns="http://schemas.openxmlformats.org/spreadsheetml/2006/main">
  <c r="H5" i="141"/>
  <c r="G8"/>
  <c r="E46" i="151"/>
  <c r="C46"/>
  <c r="I28"/>
  <c r="C28" s="1"/>
  <c r="H28"/>
  <c r="E28" l="1"/>
  <c r="G28" s="1"/>
  <c r="K28" s="1"/>
  <c r="F28"/>
  <c r="G16" i="65"/>
  <c r="G21" l="1"/>
  <c r="M39" i="151"/>
  <c r="M37"/>
  <c r="M6"/>
  <c r="M9"/>
  <c r="M15"/>
  <c r="M17"/>
  <c r="I9" i="141"/>
  <c r="I18"/>
  <c r="H8"/>
  <c r="H26" i="151" l="1"/>
  <c r="H7"/>
  <c r="H14"/>
  <c r="H27"/>
  <c r="H25"/>
  <c r="H24"/>
  <c r="H23"/>
  <c r="H22"/>
  <c r="H21"/>
  <c r="H39"/>
  <c r="H38"/>
  <c r="H37"/>
  <c r="H20"/>
  <c r="H19"/>
  <c r="H18"/>
  <c r="H17"/>
  <c r="H16"/>
  <c r="H15"/>
  <c r="H13"/>
  <c r="H12"/>
  <c r="H11"/>
  <c r="H10"/>
  <c r="H9"/>
  <c r="H2"/>
  <c r="H4"/>
  <c r="H6"/>
  <c r="H8"/>
  <c r="B10" i="144"/>
  <c r="B11"/>
  <c r="C15"/>
  <c r="C14"/>
  <c r="C13"/>
  <c r="C12"/>
  <c r="C11"/>
  <c r="C10"/>
  <c r="C9"/>
  <c r="C8"/>
  <c r="C7"/>
  <c r="C6"/>
  <c r="C5"/>
  <c r="C3"/>
  <c r="H5" i="151"/>
  <c r="H3"/>
  <c r="B15" i="144"/>
  <c r="B14"/>
  <c r="B13"/>
  <c r="B12"/>
  <c r="B9"/>
  <c r="B8"/>
  <c r="B7"/>
  <c r="B6"/>
  <c r="B5"/>
  <c r="B3"/>
  <c r="M40" i="151" l="1"/>
  <c r="M3"/>
  <c r="F13" i="135" l="1"/>
  <c r="G11" i="88"/>
  <c r="G5" i="79"/>
  <c r="C41" i="151"/>
  <c r="E41" s="1"/>
  <c r="F9" i="153"/>
  <c r="F6"/>
  <c r="G6" i="126"/>
  <c r="G19" i="67"/>
  <c r="G11" i="65"/>
  <c r="G4" i="120"/>
  <c r="G5" l="1"/>
  <c r="G5" i="16"/>
  <c r="G6"/>
  <c r="G7"/>
  <c r="G8"/>
  <c r="G9"/>
  <c r="G10"/>
  <c r="G11"/>
  <c r="G12"/>
  <c r="G13"/>
  <c r="G5" i="118" l="1"/>
  <c r="G19" i="126"/>
  <c r="H50" i="151"/>
  <c r="I27"/>
  <c r="C27" s="1"/>
  <c r="I26"/>
  <c r="I25"/>
  <c r="C25" s="1"/>
  <c r="I24"/>
  <c r="C24" s="1"/>
  <c r="I23"/>
  <c r="C23" s="1"/>
  <c r="M46"/>
  <c r="M45"/>
  <c r="M44"/>
  <c r="M38"/>
  <c r="M33"/>
  <c r="G10" i="123" l="1"/>
  <c r="G20" i="116"/>
  <c r="G12" i="67"/>
  <c r="I12" i="141" l="1"/>
  <c r="H4"/>
  <c r="F14" i="8"/>
  <c r="G6" i="64"/>
  <c r="G11" i="67"/>
  <c r="G13"/>
  <c r="E22" i="117"/>
  <c r="G15" i="116"/>
  <c r="G17"/>
  <c r="G19"/>
  <c r="G12"/>
  <c r="G10"/>
  <c r="G5"/>
  <c r="M24" i="155"/>
  <c r="L24"/>
  <c r="K24"/>
  <c r="J24"/>
  <c r="I24"/>
  <c r="H24"/>
  <c r="G24"/>
  <c r="F24"/>
  <c r="E24"/>
  <c r="D24"/>
  <c r="M17"/>
  <c r="L17"/>
  <c r="K17"/>
  <c r="J17"/>
  <c r="I17"/>
  <c r="H17"/>
  <c r="G17"/>
  <c r="F17"/>
  <c r="E17"/>
  <c r="D17"/>
  <c r="M10"/>
  <c r="L10"/>
  <c r="K10"/>
  <c r="J10"/>
  <c r="I10"/>
  <c r="H10"/>
  <c r="G10"/>
  <c r="F10"/>
  <c r="E10"/>
  <c r="G7" i="132"/>
  <c r="G9"/>
  <c r="G11"/>
  <c r="G12"/>
  <c r="G17"/>
  <c r="G7" i="74"/>
  <c r="G8" i="77"/>
  <c r="G18" i="79"/>
  <c r="G16"/>
  <c r="G8" i="15"/>
  <c r="G5"/>
  <c r="G4"/>
  <c r="G14" i="16"/>
  <c r="G6" i="102"/>
  <c r="G9" i="85"/>
  <c r="G6" i="88"/>
  <c r="G9"/>
  <c r="G6" i="65"/>
  <c r="G8"/>
  <c r="G7"/>
  <c r="G9"/>
  <c r="G10"/>
  <c r="G13"/>
  <c r="D30" i="105"/>
  <c r="D29"/>
  <c r="F5" i="119"/>
  <c r="F12" s="1"/>
  <c r="F15" i="102"/>
  <c r="F17" i="134"/>
  <c r="F13" i="137"/>
  <c r="F11" i="101"/>
  <c r="F6"/>
  <c r="F15" i="90"/>
  <c r="F14" i="16"/>
  <c r="F13"/>
  <c r="F12"/>
  <c r="F11"/>
  <c r="F10"/>
  <c r="F9"/>
  <c r="F8"/>
  <c r="F7"/>
  <c r="F6"/>
  <c r="F5"/>
  <c r="F17" s="1"/>
  <c r="F8" i="15"/>
  <c r="F7"/>
  <c r="F5"/>
  <c r="F4"/>
  <c r="F12" s="1"/>
  <c r="F13" i="83"/>
  <c r="F14" i="85"/>
  <c r="F9"/>
  <c r="F16" i="135"/>
  <c r="F13" i="86"/>
  <c r="F20" i="88"/>
  <c r="F19"/>
  <c r="F11"/>
  <c r="F9"/>
  <c r="F23" s="1"/>
  <c r="F6"/>
  <c r="F24" i="79"/>
  <c r="F16"/>
  <c r="F13" i="80"/>
  <c r="F16" i="75"/>
  <c r="F20" i="77"/>
  <c r="F8"/>
  <c r="F31" i="74"/>
  <c r="F7"/>
  <c r="F18" i="136"/>
  <c r="F17" i="132"/>
  <c r="F12"/>
  <c r="F11"/>
  <c r="F9"/>
  <c r="F22" s="1"/>
  <c r="F7"/>
  <c r="F14" i="133"/>
  <c r="E16" i="153"/>
  <c r="E17"/>
  <c r="E15"/>
  <c r="E21"/>
  <c r="E20"/>
  <c r="E12" i="147"/>
  <c r="F19" i="140"/>
  <c r="F31" i="125"/>
  <c r="F22" i="126"/>
  <c r="F32" i="69"/>
  <c r="F27"/>
  <c r="F8" i="112"/>
  <c r="F10" i="122"/>
  <c r="D25" i="105" s="1"/>
  <c r="F13" i="123"/>
  <c r="D24" i="105" s="1"/>
  <c r="F6" i="115"/>
  <c r="F12" s="1"/>
  <c r="F19" i="116"/>
  <c r="F17"/>
  <c r="F15"/>
  <c r="F12"/>
  <c r="F10"/>
  <c r="F5"/>
  <c r="F23" s="1"/>
  <c r="F26" i="100"/>
  <c r="F25"/>
  <c r="F29" s="1"/>
  <c r="F23" i="95"/>
  <c r="F19" i="67"/>
  <c r="F18"/>
  <c r="F13"/>
  <c r="F12"/>
  <c r="F23" s="1"/>
  <c r="F11"/>
  <c r="F9" i="113"/>
  <c r="F15" i="65"/>
  <c r="F13"/>
  <c r="F11"/>
  <c r="F10"/>
  <c r="F9"/>
  <c r="F8"/>
  <c r="F7"/>
  <c r="F6"/>
  <c r="F18" s="1"/>
  <c r="F11" i="64"/>
  <c r="F6"/>
  <c r="F9" i="8"/>
  <c r="F8"/>
  <c r="F11" i="118"/>
  <c r="F12" i="120"/>
  <c r="F5"/>
  <c r="G25" i="141"/>
  <c r="G22"/>
  <c r="G14"/>
  <c r="G13"/>
  <c r="G5"/>
  <c r="D11" i="105"/>
  <c r="E27" i="153" l="1"/>
  <c r="D54" i="105"/>
  <c r="E27" i="151" l="1"/>
  <c r="F27"/>
  <c r="G24" i="79"/>
  <c r="P6" i="151"/>
  <c r="C26"/>
  <c r="D42" i="117"/>
  <c r="D7"/>
  <c r="P7" i="151" l="1"/>
  <c r="P8" s="1"/>
  <c r="I22"/>
  <c r="C22" s="1"/>
  <c r="G27"/>
  <c r="K27" s="1"/>
  <c r="D7" i="131"/>
  <c r="D13"/>
  <c r="G3" i="155"/>
  <c r="K3"/>
  <c r="D4" i="131"/>
  <c r="D10"/>
  <c r="E3" i="155"/>
  <c r="I3"/>
  <c r="I40" i="151" l="1"/>
  <c r="I21"/>
  <c r="C21" s="1"/>
  <c r="P9"/>
  <c r="P10" l="1"/>
  <c r="I19"/>
  <c r="C19" s="1"/>
  <c r="I20"/>
  <c r="C20" s="1"/>
  <c r="I18" l="1"/>
  <c r="C18" s="1"/>
  <c r="P11"/>
  <c r="P12" l="1"/>
  <c r="P13" s="1"/>
  <c r="I17"/>
  <c r="C17" s="1"/>
  <c r="I11"/>
  <c r="C11" s="1"/>
  <c r="I16"/>
  <c r="C16" s="1"/>
  <c r="I12"/>
  <c r="C12" s="1"/>
  <c r="G6" i="101"/>
  <c r="C40" i="151"/>
  <c r="E12" l="1"/>
  <c r="F12"/>
  <c r="I15"/>
  <c r="C15" s="1"/>
  <c r="I14"/>
  <c r="C14" s="1"/>
  <c r="I10"/>
  <c r="C10" s="1"/>
  <c r="I4"/>
  <c r="C4" s="1"/>
  <c r="P14"/>
  <c r="E24"/>
  <c r="E25"/>
  <c r="F26"/>
  <c r="F24"/>
  <c r="F25"/>
  <c r="G12" l="1"/>
  <c r="K12" s="1"/>
  <c r="P15"/>
  <c r="I9"/>
  <c r="C9" s="1"/>
  <c r="I3"/>
  <c r="C3" s="1"/>
  <c r="I8"/>
  <c r="C8" s="1"/>
  <c r="E4"/>
  <c r="F4"/>
  <c r="G25"/>
  <c r="K25" s="1"/>
  <c r="E26"/>
  <c r="G26" s="1"/>
  <c r="K26" s="1"/>
  <c r="G24"/>
  <c r="K24" s="1"/>
  <c r="E9" i="8"/>
  <c r="G4" i="151" l="1"/>
  <c r="K4" s="1"/>
  <c r="E3"/>
  <c r="F3"/>
  <c r="I37"/>
  <c r="I13"/>
  <c r="C13" s="1"/>
  <c r="I7"/>
  <c r="C7" s="1"/>
  <c r="I6"/>
  <c r="C6" s="1"/>
  <c r="P16"/>
  <c r="E6" i="101"/>
  <c r="D6"/>
  <c r="E10" i="90"/>
  <c r="E13" i="16"/>
  <c r="E12"/>
  <c r="E11"/>
  <c r="E10"/>
  <c r="E9"/>
  <c r="E8"/>
  <c r="E7"/>
  <c r="E6"/>
  <c r="E5"/>
  <c r="E7" i="15"/>
  <c r="D7"/>
  <c r="E5"/>
  <c r="D5"/>
  <c r="E4"/>
  <c r="D4"/>
  <c r="E9" i="85"/>
  <c r="D9"/>
  <c r="E11" i="135"/>
  <c r="E10"/>
  <c r="E9"/>
  <c r="E8"/>
  <c r="E7"/>
  <c r="E6"/>
  <c r="E18" i="88"/>
  <c r="E17"/>
  <c r="E11"/>
  <c r="E9"/>
  <c r="D9"/>
  <c r="E6"/>
  <c r="E16" i="79"/>
  <c r="D16"/>
  <c r="E8" i="80"/>
  <c r="D14" i="77"/>
  <c r="E8"/>
  <c r="D8"/>
  <c r="E24" i="74"/>
  <c r="E22"/>
  <c r="E21"/>
  <c r="E20"/>
  <c r="D20"/>
  <c r="E14"/>
  <c r="D14"/>
  <c r="D13"/>
  <c r="D8"/>
  <c r="E7"/>
  <c r="D7"/>
  <c r="E6"/>
  <c r="D6"/>
  <c r="E17" i="132"/>
  <c r="D17"/>
  <c r="E12"/>
  <c r="D12"/>
  <c r="E11"/>
  <c r="D11"/>
  <c r="E9"/>
  <c r="D9"/>
  <c r="E7"/>
  <c r="D7"/>
  <c r="D27" i="153"/>
  <c r="E15" i="140"/>
  <c r="D6"/>
  <c r="E15" i="126"/>
  <c r="D17" i="69"/>
  <c r="D5" i="112"/>
  <c r="E19" i="116"/>
  <c r="D19"/>
  <c r="E17"/>
  <c r="D17"/>
  <c r="E15"/>
  <c r="D15"/>
  <c r="D14"/>
  <c r="E12"/>
  <c r="D12"/>
  <c r="E10"/>
  <c r="D10"/>
  <c r="D8"/>
  <c r="E5"/>
  <c r="E11" i="100"/>
  <c r="E14" i="65"/>
  <c r="E13"/>
  <c r="E10"/>
  <c r="D10"/>
  <c r="E9"/>
  <c r="D9"/>
  <c r="E8"/>
  <c r="D8"/>
  <c r="E7"/>
  <c r="D7"/>
  <c r="E6"/>
  <c r="D6"/>
  <c r="E6" i="64"/>
  <c r="D12" i="8"/>
  <c r="C10"/>
  <c r="C9"/>
  <c r="C8"/>
  <c r="D5" i="118"/>
  <c r="E5" i="119"/>
  <c r="D5"/>
  <c r="E5" i="120"/>
  <c r="D5"/>
  <c r="E4"/>
  <c r="D4"/>
  <c r="F14" i="141"/>
  <c r="F13"/>
  <c r="F10"/>
  <c r="E13" i="151" l="1"/>
  <c r="G13" s="1"/>
  <c r="K13" s="1"/>
  <c r="F13"/>
  <c r="I39"/>
  <c r="C39" s="1"/>
  <c r="E39" s="1"/>
  <c r="G39" s="1"/>
  <c r="K39" s="1"/>
  <c r="I5"/>
  <c r="C5" s="1"/>
  <c r="P17"/>
  <c r="C37"/>
  <c r="G3"/>
  <c r="K3" s="1"/>
  <c r="F21" i="153"/>
  <c r="P18" i="151" l="1"/>
  <c r="P19" s="1"/>
  <c r="P20" s="1"/>
  <c r="I2"/>
  <c r="C2" s="1"/>
  <c r="I5" i="141"/>
  <c r="I38" i="151" l="1"/>
  <c r="P2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F20" i="153"/>
  <c r="G31" i="125"/>
  <c r="F29" i="105" s="1"/>
  <c r="G5" i="119"/>
  <c r="C23" i="67"/>
  <c r="D23"/>
  <c r="G23"/>
  <c r="E23"/>
  <c r="C38" i="151" l="1"/>
  <c r="E38" s="1"/>
  <c r="I50"/>
  <c r="D33" i="117"/>
  <c r="D13"/>
  <c r="D41"/>
  <c r="D40"/>
  <c r="D39"/>
  <c r="D31"/>
  <c r="D27"/>
  <c r="D23"/>
  <c r="D21"/>
  <c r="D20"/>
  <c r="D19"/>
  <c r="D15"/>
  <c r="D14"/>
  <c r="D12"/>
  <c r="D8"/>
  <c r="D5"/>
  <c r="D4"/>
  <c r="J50" i="151"/>
  <c r="F7" i="105" l="1"/>
  <c r="F4"/>
  <c r="F2"/>
  <c r="E23" i="151"/>
  <c r="E18" i="136"/>
  <c r="D18"/>
  <c r="C18"/>
  <c r="D22" i="132"/>
  <c r="C22"/>
  <c r="E22"/>
  <c r="F15" i="153"/>
  <c r="F16"/>
  <c r="F17"/>
  <c r="F18"/>
  <c r="H25" i="141"/>
  <c r="G66" i="151"/>
  <c r="G65"/>
  <c r="G64"/>
  <c r="G57"/>
  <c r="G56"/>
  <c r="G55"/>
  <c r="G54"/>
  <c r="F23" l="1"/>
  <c r="G23" s="1"/>
  <c r="K23" s="1"/>
  <c r="B50"/>
  <c r="E33" i="117"/>
  <c r="E32"/>
  <c r="E31"/>
  <c r="E27"/>
  <c r="E23"/>
  <c r="E21"/>
  <c r="E20"/>
  <c r="E19"/>
  <c r="E15"/>
  <c r="E14"/>
  <c r="E13"/>
  <c r="E12"/>
  <c r="E8"/>
  <c r="E7"/>
  <c r="E4"/>
  <c r="E5"/>
  <c r="E6"/>
  <c r="G6" i="153" l="1"/>
  <c r="F3" i="105" l="1"/>
  <c r="G23" i="88" l="1"/>
  <c r="F42" i="105" s="1"/>
  <c r="E14" i="8"/>
  <c r="G10" i="153"/>
  <c r="G20"/>
  <c r="G16" i="135" l="1"/>
  <c r="F44" i="105" s="1"/>
  <c r="F20" l="1"/>
  <c r="B30" i="151" l="1"/>
  <c r="I30"/>
  <c r="H30"/>
  <c r="C45" l="1"/>
  <c r="E45" s="1"/>
  <c r="C44"/>
  <c r="E44" s="1"/>
  <c r="E16"/>
  <c r="E22"/>
  <c r="E21"/>
  <c r="E20"/>
  <c r="F19"/>
  <c r="E18"/>
  <c r="F17"/>
  <c r="C43" l="1"/>
  <c r="C30"/>
  <c r="E19"/>
  <c r="G19" s="1"/>
  <c r="K19" s="1"/>
  <c r="F22"/>
  <c r="G22" s="1"/>
  <c r="K22" s="1"/>
  <c r="E17"/>
  <c r="G17" s="1"/>
  <c r="K17" s="1"/>
  <c r="F18"/>
  <c r="G18" s="1"/>
  <c r="K18" s="1"/>
  <c r="F20"/>
  <c r="G20" s="1"/>
  <c r="K20" s="1"/>
  <c r="F21"/>
  <c r="G21" s="1"/>
  <c r="K21" s="1"/>
  <c r="F16"/>
  <c r="G16" s="1"/>
  <c r="K16" s="1"/>
  <c r="C13" i="137"/>
  <c r="D13"/>
  <c r="E13"/>
  <c r="G13"/>
  <c r="F51" i="105" s="1"/>
  <c r="B13" i="137"/>
  <c r="B12"/>
  <c r="B15" i="135"/>
  <c r="E38" i="117"/>
  <c r="E39"/>
  <c r="E40"/>
  <c r="E41"/>
  <c r="E42"/>
  <c r="E43"/>
  <c r="E44"/>
  <c r="E45"/>
  <c r="E37"/>
  <c r="G15" i="102"/>
  <c r="F53" i="105" s="1"/>
  <c r="G17" i="134"/>
  <c r="F52" i="105" s="1"/>
  <c r="F14" i="139"/>
  <c r="G11" i="101"/>
  <c r="F50" i="105" s="1"/>
  <c r="G15" i="90"/>
  <c r="F49" i="105" s="1"/>
  <c r="G17" i="16"/>
  <c r="F48" i="105" s="1"/>
  <c r="G12" i="15"/>
  <c r="F47" i="105" s="1"/>
  <c r="G13" i="83"/>
  <c r="F46" i="105" s="1"/>
  <c r="G14" i="85"/>
  <c r="F45" i="105" s="1"/>
  <c r="G13" i="86"/>
  <c r="F43" i="105" s="1"/>
  <c r="E43" i="151" l="1"/>
  <c r="G43" s="1"/>
  <c r="K43" s="1"/>
  <c r="F41" i="105"/>
  <c r="G13" i="80"/>
  <c r="F40" i="105" s="1"/>
  <c r="G16" i="75"/>
  <c r="F39" i="105" s="1"/>
  <c r="G20" i="77"/>
  <c r="F38" i="105" s="1"/>
  <c r="G31" i="74"/>
  <c r="F37" i="105" s="1"/>
  <c r="G18" i="136"/>
  <c r="F36" i="105" s="1"/>
  <c r="G22" i="132"/>
  <c r="F35" i="105" s="1"/>
  <c r="G14" i="133"/>
  <c r="F34" i="105" s="1"/>
  <c r="F12" i="147"/>
  <c r="F31" i="105" s="1"/>
  <c r="G19" i="140"/>
  <c r="F30" i="105" s="1"/>
  <c r="G22" i="126"/>
  <c r="F28" i="105" s="1"/>
  <c r="G32" i="69"/>
  <c r="F27" i="105" s="1"/>
  <c r="G8" i="112"/>
  <c r="F26" i="105" s="1"/>
  <c r="G10" i="122"/>
  <c r="F25" i="105" s="1"/>
  <c r="G13" i="123"/>
  <c r="F24" i="105" s="1"/>
  <c r="G23" i="116"/>
  <c r="G29" i="100"/>
  <c r="F22" i="105" s="1"/>
  <c r="G23" i="95"/>
  <c r="F21" i="105" s="1"/>
  <c r="G9" i="113"/>
  <c r="F19" i="105" s="1"/>
  <c r="G18" i="65"/>
  <c r="F18" i="105" s="1"/>
  <c r="G11" i="64"/>
  <c r="F17" i="105" s="1"/>
  <c r="E11" i="118"/>
  <c r="E12" i="119"/>
  <c r="E12" i="120"/>
  <c r="F25" i="141"/>
  <c r="E40" i="151"/>
  <c r="E24" i="79"/>
  <c r="E13" i="123"/>
  <c r="E32" i="69"/>
  <c r="D32"/>
  <c r="C32"/>
  <c r="B32"/>
  <c r="E11" i="64"/>
  <c r="D11"/>
  <c r="C11"/>
  <c r="B11"/>
  <c r="D12" i="119"/>
  <c r="G6" i="115" l="1"/>
  <c r="G62" i="151"/>
  <c r="G61"/>
  <c r="C27" i="153"/>
  <c r="B27"/>
  <c r="D15" i="102"/>
  <c r="C15"/>
  <c r="B15"/>
  <c r="D17" i="134"/>
  <c r="C17"/>
  <c r="B17"/>
  <c r="D14" i="139"/>
  <c r="C14"/>
  <c r="B14"/>
  <c r="D11" i="101"/>
  <c r="C11"/>
  <c r="B11"/>
  <c r="D15" i="90"/>
  <c r="C15"/>
  <c r="B15"/>
  <c r="D17" i="16"/>
  <c r="C17"/>
  <c r="B17"/>
  <c r="D12" i="15"/>
  <c r="C12"/>
  <c r="B12"/>
  <c r="D13" i="83"/>
  <c r="C13"/>
  <c r="B13"/>
  <c r="D14" i="85"/>
  <c r="C14"/>
  <c r="B14"/>
  <c r="D16" i="135"/>
  <c r="C16"/>
  <c r="B16"/>
  <c r="D13" i="86"/>
  <c r="C13"/>
  <c r="B13"/>
  <c r="D23" i="88"/>
  <c r="C23"/>
  <c r="B23"/>
  <c r="D24" i="79"/>
  <c r="C24"/>
  <c r="B24"/>
  <c r="D13" i="80"/>
  <c r="C13"/>
  <c r="B13"/>
  <c r="D16" i="75"/>
  <c r="C16"/>
  <c r="B16"/>
  <c r="D20" i="77"/>
  <c r="C20"/>
  <c r="B20"/>
  <c r="D31" i="74"/>
  <c r="C31"/>
  <c r="B31"/>
  <c r="B18" i="136"/>
  <c r="B22" i="132"/>
  <c r="D14" i="133"/>
  <c r="C14"/>
  <c r="B14"/>
  <c r="G46" i="151"/>
  <c r="K46" s="1"/>
  <c r="C12" i="147"/>
  <c r="B12"/>
  <c r="D19" i="140"/>
  <c r="C19"/>
  <c r="B19"/>
  <c r="D31" i="125"/>
  <c r="C31"/>
  <c r="B31"/>
  <c r="D22" i="126"/>
  <c r="C22"/>
  <c r="B22"/>
  <c r="D8" i="112"/>
  <c r="C8"/>
  <c r="B8"/>
  <c r="D10" i="122"/>
  <c r="C10"/>
  <c r="B10"/>
  <c r="D13" i="123"/>
  <c r="C13"/>
  <c r="B13"/>
  <c r="D23" i="116"/>
  <c r="D6" i="115" s="1"/>
  <c r="C23" i="116"/>
  <c r="C6" i="115" s="1"/>
  <c r="C12" s="1"/>
  <c r="B23" i="116"/>
  <c r="B12" i="115"/>
  <c r="D29" i="100"/>
  <c r="C29"/>
  <c r="B29"/>
  <c r="D23" i="95"/>
  <c r="C23"/>
  <c r="B23"/>
  <c r="B23" i="67"/>
  <c r="D9" i="113"/>
  <c r="C9"/>
  <c r="B9"/>
  <c r="D18" i="65"/>
  <c r="C18"/>
  <c r="B18"/>
  <c r="C14" i="8" l="1"/>
  <c r="B14"/>
  <c r="D11" i="118"/>
  <c r="C11"/>
  <c r="B11"/>
  <c r="C12" i="119"/>
  <c r="B12"/>
  <c r="G12" i="120"/>
  <c r="F13" i="105" s="1"/>
  <c r="D12" i="120"/>
  <c r="C12"/>
  <c r="B12"/>
  <c r="F9" i="105"/>
  <c r="I16" i="141"/>
  <c r="F8" i="105" s="1"/>
  <c r="F6"/>
  <c r="F5"/>
  <c r="F11" l="1"/>
  <c r="E14" i="139"/>
  <c r="E14" i="85"/>
  <c r="E16" i="135"/>
  <c r="E13" i="86"/>
  <c r="E23" i="88"/>
  <c r="E31" i="74"/>
  <c r="E19" i="140"/>
  <c r="G12" i="119"/>
  <c r="F14" i="105" s="1"/>
  <c r="E46" i="117" l="1"/>
  <c r="G40" i="151"/>
  <c r="K40" s="1"/>
  <c r="G45" l="1"/>
  <c r="K45" s="1"/>
  <c r="G44"/>
  <c r="K44" s="1"/>
  <c r="G41"/>
  <c r="K41" s="1"/>
  <c r="G38"/>
  <c r="K38" s="1"/>
  <c r="E37"/>
  <c r="G37" s="1"/>
  <c r="K37" s="1"/>
  <c r="J30"/>
  <c r="F15"/>
  <c r="F14"/>
  <c r="F11"/>
  <c r="F10"/>
  <c r="F9"/>
  <c r="F8"/>
  <c r="F7"/>
  <c r="F6"/>
  <c r="F5"/>
  <c r="F2"/>
  <c r="K48" l="1"/>
  <c r="F30"/>
  <c r="E2"/>
  <c r="E5"/>
  <c r="G5" s="1"/>
  <c r="K5" s="1"/>
  <c r="E6"/>
  <c r="G6" s="1"/>
  <c r="K6" s="1"/>
  <c r="E7"/>
  <c r="G7" s="1"/>
  <c r="K7" s="1"/>
  <c r="E8"/>
  <c r="G8" s="1"/>
  <c r="K8" s="1"/>
  <c r="E9"/>
  <c r="G9" s="1"/>
  <c r="K9" s="1"/>
  <c r="E10"/>
  <c r="G10" s="1"/>
  <c r="K10" s="1"/>
  <c r="E11"/>
  <c r="G11" s="1"/>
  <c r="K11" s="1"/>
  <c r="E14"/>
  <c r="G14" s="1"/>
  <c r="K14" s="1"/>
  <c r="E15"/>
  <c r="G15" s="1"/>
  <c r="K15" s="1"/>
  <c r="F14" i="153" l="1"/>
  <c r="G59" i="151"/>
  <c r="E30"/>
  <c r="G2"/>
  <c r="K2" s="1"/>
  <c r="G30" l="1"/>
  <c r="K30"/>
  <c r="K34" s="1"/>
  <c r="K50" s="1"/>
  <c r="F13" i="153" l="1"/>
  <c r="G13" s="1"/>
  <c r="G58" i="151"/>
  <c r="D25" i="141"/>
  <c r="F4" i="153" l="1"/>
  <c r="G67" i="151"/>
  <c r="F33" i="105"/>
  <c r="G53" i="151" l="1"/>
  <c r="G68" s="1"/>
  <c r="G69" s="1"/>
  <c r="F24" i="153"/>
  <c r="E15" i="102"/>
  <c r="E11" i="101"/>
  <c r="F27" i="153" l="1"/>
  <c r="F32" i="105" s="1"/>
  <c r="E16" i="75"/>
  <c r="E14" i="133"/>
  <c r="E31" i="125" l="1"/>
  <c r="E22" i="126"/>
  <c r="E29" i="100"/>
  <c r="I36" i="128" l="1"/>
  <c r="G37"/>
  <c r="F37"/>
  <c r="D37"/>
  <c r="B37"/>
  <c r="C35"/>
  <c r="I35" s="1"/>
  <c r="I27"/>
  <c r="H31" l="1"/>
  <c r="H30"/>
  <c r="H29"/>
  <c r="H28"/>
  <c r="H25"/>
  <c r="H24"/>
  <c r="H23"/>
  <c r="H22"/>
  <c r="H21"/>
  <c r="H20"/>
  <c r="H19"/>
  <c r="H18"/>
  <c r="H17"/>
  <c r="H16"/>
  <c r="H15"/>
  <c r="H14"/>
  <c r="H7"/>
  <c r="H12"/>
  <c r="H5"/>
  <c r="H10"/>
  <c r="H13"/>
  <c r="H8"/>
  <c r="H6"/>
  <c r="H11"/>
  <c r="H9"/>
  <c r="H4"/>
  <c r="H3"/>
  <c r="H2"/>
  <c r="H37" s="1"/>
  <c r="E34"/>
  <c r="E33"/>
  <c r="E32"/>
  <c r="E31"/>
  <c r="E30"/>
  <c r="E29"/>
  <c r="E28"/>
  <c r="C32"/>
  <c r="I32" s="1"/>
  <c r="E26"/>
  <c r="E25"/>
  <c r="E24"/>
  <c r="E22"/>
  <c r="E21"/>
  <c r="E23"/>
  <c r="E20"/>
  <c r="E19"/>
  <c r="E18"/>
  <c r="E17"/>
  <c r="E16"/>
  <c r="E15"/>
  <c r="E14"/>
  <c r="E7"/>
  <c r="E12"/>
  <c r="E5"/>
  <c r="E10"/>
  <c r="E13"/>
  <c r="E8"/>
  <c r="E6"/>
  <c r="E11"/>
  <c r="E9"/>
  <c r="E4"/>
  <c r="E3"/>
  <c r="E2"/>
  <c r="E37" s="1"/>
  <c r="C22"/>
  <c r="I22" l="1"/>
  <c r="E8" i="112" l="1"/>
  <c r="H14" i="8"/>
  <c r="G14"/>
  <c r="D14"/>
  <c r="F16" i="105" l="1"/>
  <c r="G16" i="8"/>
  <c r="D12" i="147"/>
  <c r="E10" i="122"/>
  <c r="E23" i="116"/>
  <c r="E23" i="95"/>
  <c r="E9" i="113"/>
  <c r="E18" i="65"/>
  <c r="G11" i="118"/>
  <c r="F15" i="105" s="1"/>
  <c r="C25" i="141"/>
  <c r="C33" i="128" l="1"/>
  <c r="I33" s="1"/>
  <c r="C21"/>
  <c r="I21" s="1"/>
  <c r="E17" i="134" l="1"/>
  <c r="E15" i="90" l="1"/>
  <c r="E17" i="16"/>
  <c r="E12" i="15"/>
  <c r="E13" i="83"/>
  <c r="E13" i="80"/>
  <c r="E20" i="77"/>
  <c r="D12" i="115" l="1"/>
  <c r="C29" i="128" l="1"/>
  <c r="I29" s="1"/>
  <c r="C20"/>
  <c r="I20" s="1"/>
  <c r="C19"/>
  <c r="I19" s="1"/>
  <c r="C18"/>
  <c r="I18" s="1"/>
  <c r="E34" i="117"/>
  <c r="E28"/>
  <c r="E24"/>
  <c r="E16"/>
  <c r="E9"/>
  <c r="E48" l="1"/>
  <c r="E12" i="115" l="1"/>
  <c r="G5"/>
  <c r="G12" s="1"/>
  <c r="F23" i="105" s="1"/>
  <c r="C8" i="128"/>
  <c r="I8"/>
  <c r="E25" i="141"/>
  <c r="C24" i="128"/>
  <c r="I24"/>
  <c r="C15"/>
  <c r="I15"/>
  <c r="C26"/>
  <c r="I26"/>
  <c r="C25"/>
  <c r="I25"/>
  <c r="C7"/>
  <c r="I7"/>
  <c r="C28"/>
  <c r="I28"/>
  <c r="C30"/>
  <c r="I30"/>
  <c r="C31"/>
  <c r="I31"/>
  <c r="C3"/>
  <c r="I3"/>
  <c r="C4"/>
  <c r="I4"/>
  <c r="C2"/>
  <c r="I2"/>
  <c r="C9"/>
  <c r="I9"/>
  <c r="C6"/>
  <c r="I6"/>
  <c r="C11"/>
  <c r="I11"/>
  <c r="C13"/>
  <c r="I13"/>
  <c r="C12"/>
  <c r="I12"/>
  <c r="C10"/>
  <c r="I10"/>
  <c r="C5"/>
  <c r="I5"/>
  <c r="C14"/>
  <c r="I14"/>
  <c r="C16"/>
  <c r="I16"/>
  <c r="C17"/>
  <c r="I17"/>
  <c r="C23"/>
  <c r="I23"/>
  <c r="C34"/>
  <c r="I34"/>
  <c r="F54" i="105" l="1"/>
  <c r="C37" i="128"/>
  <c r="I37"/>
  <c r="C38"/>
</calcChain>
</file>

<file path=xl/sharedStrings.xml><?xml version="1.0" encoding="utf-8"?>
<sst xmlns="http://schemas.openxmlformats.org/spreadsheetml/2006/main" count="975" uniqueCount="759">
  <si>
    <t>Anti-virus annual renewal - Trend Micro</t>
  </si>
  <si>
    <t>Monitors</t>
  </si>
  <si>
    <t>Class B Foam (32, 5 gall @ 70)</t>
  </si>
  <si>
    <t>Class A Foam (20, 5 gall @ 65)</t>
  </si>
  <si>
    <t>HazMat equipment and supplies</t>
  </si>
  <si>
    <t>AED Equipment- Batteries, Pads, Razors, Cards, Etc.</t>
  </si>
  <si>
    <t>Air Filters (both stations)</t>
  </si>
  <si>
    <t>Street reflective markers</t>
  </si>
  <si>
    <t>Street reflective marker epoxy</t>
  </si>
  <si>
    <t>Hydrant maintenance supplies</t>
  </si>
  <si>
    <t>Plans examiners</t>
  </si>
  <si>
    <t>Testing equipment</t>
  </si>
  <si>
    <t>Patches</t>
  </si>
  <si>
    <t>Ball Caps</t>
  </si>
  <si>
    <t>RECRUITMENT/PROMOTION</t>
  </si>
  <si>
    <t>Hiring Process:</t>
  </si>
  <si>
    <t>Equipment and Supplies</t>
  </si>
  <si>
    <t>ILS Kits to include medical bag &amp; supplies</t>
  </si>
  <si>
    <t>Stationery supplies</t>
  </si>
  <si>
    <t>Refreshments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</si>
  <si>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</si>
  <si>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</si>
  <si>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</si>
  <si>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</si>
  <si>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</si>
  <si>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Fire Extinguisher Re-Charging for each apparatus</t>
  </si>
  <si>
    <t>Paychex regular processing fees *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</si>
  <si>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</si>
  <si>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</si>
  <si>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</si>
  <si>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</si>
  <si>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</si>
  <si>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Certification</t>
  </si>
  <si>
    <t>HazMat Tech</t>
  </si>
  <si>
    <t>HazMat Team Member</t>
  </si>
  <si>
    <t>Rescue Tech</t>
  </si>
  <si>
    <t>Fire Investigator</t>
  </si>
  <si>
    <t>Fire Inspector</t>
  </si>
  <si>
    <t>EMT-Intermediate</t>
  </si>
  <si>
    <t>Intermediate FF</t>
  </si>
  <si>
    <t>Advanced FF</t>
  </si>
  <si>
    <t>Master FF</t>
  </si>
  <si>
    <t>Lawn Care Supplies (Weed Killer, Trash bags,  Lawn Tools)</t>
  </si>
  <si>
    <t>Causes &amp; suits etc. - estimate</t>
  </si>
  <si>
    <t>Loan repayment</t>
  </si>
  <si>
    <t>Employee &amp; Member Recognition</t>
  </si>
  <si>
    <t>STAFF- (Chiefs, Lieutenant)</t>
  </si>
  <si>
    <t>Interest on general fund</t>
  </si>
  <si>
    <t>TAFC/TAFE</t>
  </si>
  <si>
    <t>Copy Machine - 2 copiers/both stations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</si>
  <si>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</si>
  <si>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</si>
  <si>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</si>
  <si>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</si>
  <si>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</si>
  <si>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</si>
  <si>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>PROTECTIVE GEAR  WORKSHEET</t>
  </si>
  <si>
    <t>Salaries</t>
  </si>
  <si>
    <t>Year</t>
  </si>
  <si>
    <t>Rate</t>
  </si>
  <si>
    <t>#PP</t>
  </si>
  <si>
    <t>Total hourly</t>
  </si>
  <si>
    <t>Basic firefighting:</t>
  </si>
  <si>
    <t>Unscheduled overtime</t>
  </si>
  <si>
    <t>Awards &amp; Recognition - general, includes medals &amp; pins</t>
  </si>
  <si>
    <t>Awards Banquet</t>
  </si>
  <si>
    <t>TOTAL FIREFIGHTING: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</si>
  <si>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</si>
  <si>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</si>
  <si>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</si>
  <si>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</si>
  <si>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</si>
  <si>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</si>
  <si>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</si>
  <si>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</si>
  <si>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</si>
  <si>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</si>
  <si>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</si>
  <si>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Mileage reimbursement (by federal rate)</t>
  </si>
  <si>
    <t>Total benefits</t>
  </si>
  <si>
    <t>Total pay and benefits</t>
  </si>
  <si>
    <t>Wells Fargo Bank - engines (March)*</t>
  </si>
  <si>
    <t>UOT</t>
  </si>
  <si>
    <t>ICC - inspections</t>
  </si>
  <si>
    <t>Radio batteries, parts &amp; maintenance</t>
  </si>
  <si>
    <t>Semi-Annual, COA Dispatching</t>
  </si>
  <si>
    <t>MDC Software licenses and related support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</si>
  <si>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</si>
  <si>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</si>
  <si>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</si>
  <si>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</si>
  <si>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</si>
  <si>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</si>
  <si>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</si>
  <si>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410/1</t>
  </si>
  <si>
    <t>410/2</t>
  </si>
  <si>
    <t>410/3</t>
  </si>
  <si>
    <t>Property tax - prior year</t>
  </si>
  <si>
    <t>Sales Tax</t>
  </si>
  <si>
    <t>Rescue tools preventive maintenance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</si>
  <si>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</si>
  <si>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</si>
  <si>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</si>
  <si>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</si>
  <si>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</si>
  <si>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</si>
  <si>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</si>
  <si>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</si>
  <si>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</si>
  <si>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PPE - boots @ $100</t>
  </si>
  <si>
    <t>Gear repair and accessories</t>
  </si>
  <si>
    <t>Replace SCBA air bottles</t>
  </si>
  <si>
    <t>Replacement of Air Packs (incremental)</t>
  </si>
  <si>
    <t>Smoke Machine fluid</t>
  </si>
  <si>
    <t>Miscellaneous job postings</t>
  </si>
  <si>
    <t xml:space="preserve">AT&amp;T </t>
  </si>
  <si>
    <t xml:space="preserve">Stickers with Fire Department Logo </t>
  </si>
  <si>
    <t>Wireless Access for MDC's ($50 each month)</t>
  </si>
  <si>
    <t>Vehicle Maintenance &amp; Repairs</t>
  </si>
  <si>
    <t>SCBA mask disinfectant</t>
  </si>
  <si>
    <t>Apparatus annual pump certification</t>
  </si>
  <si>
    <t>Aerial and ground ladder testing</t>
  </si>
  <si>
    <t>TOTAL</t>
  </si>
  <si>
    <t>Fuel</t>
  </si>
  <si>
    <t>Alpha Pagers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</si>
  <si>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</si>
  <si>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</si>
  <si>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</si>
  <si>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</si>
  <si>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</si>
  <si>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</si>
  <si>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</si>
  <si>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</si>
  <si>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</si>
  <si>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</si>
  <si>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</si>
  <si>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</si>
  <si>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</si>
  <si>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</si>
  <si>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</si>
  <si>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</si>
  <si>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</si>
  <si>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</si>
  <si>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</si>
  <si>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</si>
  <si>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</si>
  <si>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</si>
  <si>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</si>
  <si>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</si>
  <si>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</si>
  <si>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Polo Shirt</t>
  </si>
  <si>
    <t>PART-TIME FIGHTER</t>
  </si>
  <si>
    <t>OFFICE STAFF</t>
  </si>
  <si>
    <t>VOLUNTEER UNIFORMS</t>
  </si>
  <si>
    <t>Jackets</t>
  </si>
  <si>
    <t>Badges</t>
  </si>
  <si>
    <t>Quarterly Air Test</t>
  </si>
  <si>
    <t>Misc. SCBA Parts</t>
  </si>
  <si>
    <t>Semiannual Cascade Maintenance</t>
  </si>
  <si>
    <t>BP Cuffs, Splints &amp; Stethoscopes, Etc.</t>
  </si>
  <si>
    <t>Absorbent</t>
  </si>
  <si>
    <t xml:space="preserve">TOTAL </t>
  </si>
  <si>
    <t>Apparatus Fuel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</si>
  <si>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</si>
  <si>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</si>
  <si>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</si>
  <si>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</si>
  <si>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</si>
  <si>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</si>
  <si>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</si>
  <si>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</si>
  <si>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</si>
  <si>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</si>
  <si>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</si>
  <si>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</si>
  <si>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</si>
  <si>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</si>
  <si>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</si>
  <si>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</si>
  <si>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</si>
  <si>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</si>
  <si>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</si>
  <si>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</si>
  <si>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</si>
  <si>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</si>
  <si>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>Wire charges - possibly - with transfers</t>
  </si>
  <si>
    <t>Flowers - congrats, condolence, get well etc.</t>
  </si>
  <si>
    <t>Labeling machine supplies</t>
  </si>
  <si>
    <t>Copy paper</t>
  </si>
  <si>
    <t>Binders</t>
  </si>
  <si>
    <t>Other toners &amp; ink cartridges</t>
  </si>
  <si>
    <t>Break room &amp; janitorial</t>
  </si>
  <si>
    <t>Travis Central Appraisal District fees</t>
  </si>
  <si>
    <t>SCBA</t>
  </si>
  <si>
    <t>Training- Fire &amp; Rescue</t>
  </si>
  <si>
    <t>Fire Prevention Supplies</t>
  </si>
  <si>
    <t>Transmission Service</t>
  </si>
  <si>
    <t>Tires</t>
  </si>
  <si>
    <t>Emergency lighting</t>
  </si>
  <si>
    <t>From Uniform WS</t>
  </si>
  <si>
    <t>From Protective Gear WS</t>
  </si>
  <si>
    <t>Meals &amp; Refreshment</t>
  </si>
  <si>
    <t>Map Books</t>
  </si>
  <si>
    <t>Wildland hose</t>
  </si>
  <si>
    <t>Wildland nozzles</t>
  </si>
  <si>
    <t>Wildland tools &amp; accessories</t>
  </si>
  <si>
    <t>Adaptors and accessories</t>
  </si>
  <si>
    <t>APPARATUS PAYMENTS</t>
  </si>
  <si>
    <t>Professional Services</t>
  </si>
  <si>
    <t>Public Notices/Articles</t>
  </si>
  <si>
    <t>TCESD Board Compensation</t>
  </si>
  <si>
    <t xml:space="preserve">SCBA MAINTENANCE      </t>
  </si>
  <si>
    <t>Supplies</t>
  </si>
  <si>
    <t>BUILDING &amp; GROUND MAINTENANCE</t>
  </si>
  <si>
    <t>Principal</t>
  </si>
  <si>
    <t>Interest</t>
  </si>
  <si>
    <t>Social Security (FICA)</t>
  </si>
  <si>
    <t>Workers' Comp- -Firefighters  (7704)</t>
  </si>
  <si>
    <t>Workers' Comp - Clerical    (8810)</t>
  </si>
  <si>
    <t>Dispatch &amp; Communications</t>
  </si>
  <si>
    <t>Vehicle Supplies &amp; Equipment</t>
  </si>
  <si>
    <t xml:space="preserve">VEHICLE SUPPLIES &amp; EQUIPMENT       </t>
  </si>
  <si>
    <t>Public Education</t>
  </si>
  <si>
    <t>Debt Service 2003 bonds</t>
  </si>
  <si>
    <t>Debt service 2005 bonds</t>
  </si>
  <si>
    <t>Estimated annual charges</t>
  </si>
  <si>
    <t>Accounting consultant  - general</t>
  </si>
  <si>
    <t>Legal consultants - Fire Code</t>
  </si>
  <si>
    <t>Liquid smoke</t>
  </si>
  <si>
    <t>Vent simulator lumber</t>
  </si>
  <si>
    <t>Nozzles</t>
  </si>
  <si>
    <t xml:space="preserve">Salvage Covers </t>
  </si>
  <si>
    <t>Fire Hose 1 3/4", 3", 5"</t>
  </si>
  <si>
    <t>Landscape Maintenance BC</t>
  </si>
  <si>
    <t xml:space="preserve">Apparatus </t>
  </si>
  <si>
    <t>Property &amp; Liability Insurance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</si>
  <si>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</si>
  <si>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</si>
  <si>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</si>
  <si>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</si>
  <si>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</si>
  <si>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</si>
  <si>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</si>
  <si>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</si>
  <si>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</si>
  <si>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</si>
  <si>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</si>
  <si>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</si>
  <si>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</si>
  <si>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</si>
  <si>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</si>
  <si>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</si>
  <si>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</si>
  <si>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</si>
  <si>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</si>
  <si>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</si>
  <si>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</si>
  <si>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>* lease to be paid annually through March 2nd 2016</t>
  </si>
  <si>
    <t xml:space="preserve">SFFMA </t>
  </si>
  <si>
    <t xml:space="preserve">Flyers/invitations - postage </t>
  </si>
  <si>
    <t>Certified mail</t>
  </si>
  <si>
    <t>Postage due</t>
  </si>
  <si>
    <t>Stamps</t>
  </si>
  <si>
    <t>Package mail</t>
  </si>
  <si>
    <t>Win2003 Cal upgrades and/or licenses</t>
  </si>
  <si>
    <t>Umbrella Liability</t>
  </si>
  <si>
    <t>These amounts are what will actually</t>
  </si>
  <si>
    <t>Newspaper - for required public notices re tax rate Aug/Sep</t>
  </si>
  <si>
    <t>Travis County Tax Office fees</t>
  </si>
  <si>
    <t>Property</t>
  </si>
  <si>
    <t>Portable Equipment</t>
  </si>
  <si>
    <t>General Liability</t>
  </si>
  <si>
    <t>Management Liability</t>
  </si>
  <si>
    <t>Landscape Maintenance - CD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</si>
  <si>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</si>
  <si>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</si>
  <si>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</si>
  <si>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</si>
  <si>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</si>
  <si>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</si>
  <si>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</si>
  <si>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</si>
  <si>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</si>
  <si>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</si>
  <si>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</si>
  <si>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</si>
  <si>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</si>
  <si>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</si>
  <si>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</si>
  <si>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</si>
  <si>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</si>
  <si>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</si>
  <si>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</si>
  <si>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</si>
  <si>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</si>
  <si>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and Wildland PPE repair and Cleaning</t>
  </si>
  <si>
    <t>Wells Fargo Bank  - drill tower (July) **</t>
  </si>
  <si>
    <t>Health etc. - employee TAC December - September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</si>
  <si>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</si>
  <si>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</si>
  <si>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</si>
  <si>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</si>
  <si>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</si>
  <si>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</si>
  <si>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</si>
  <si>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EMS Certification School fees (2+ classes)</t>
  </si>
  <si>
    <t>Instructors: associate</t>
  </si>
  <si>
    <t>PPE repair</t>
  </si>
  <si>
    <t>Equipment  repair</t>
  </si>
  <si>
    <t xml:space="preserve">Equipment - miscellaneous 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</si>
  <si>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</si>
  <si>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</si>
  <si>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</si>
  <si>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</si>
  <si>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</si>
  <si>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Miscellaneous equipment &amp; supplies</t>
  </si>
  <si>
    <t>Live Fire</t>
  </si>
  <si>
    <t>PHTLS/ITLAS class</t>
  </si>
  <si>
    <t>EMS Conference</t>
  </si>
  <si>
    <t>TCFP Facility certifications</t>
  </si>
  <si>
    <t>DSHS First Responder Organization</t>
  </si>
  <si>
    <t>DSHS CE issuing organization</t>
  </si>
  <si>
    <t>DPS license renewals</t>
  </si>
  <si>
    <t>COA Barton Springs Zone Permit (CD station)</t>
  </si>
  <si>
    <t>Replacement flags</t>
  </si>
  <si>
    <t>Safe-D Association</t>
  </si>
  <si>
    <t>Repairs; troubleshoot</t>
  </si>
  <si>
    <t>Annual Report</t>
  </si>
  <si>
    <t>R. Clark</t>
  </si>
  <si>
    <t>off prob</t>
  </si>
  <si>
    <t>new hire</t>
  </si>
  <si>
    <t>District Chief</t>
  </si>
  <si>
    <t>at 53 hrs wk</t>
  </si>
  <si>
    <t>Mileage Reimbursement per Federal standard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</si>
  <si>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</si>
  <si>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</si>
  <si>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</si>
  <si>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</si>
  <si>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</si>
  <si>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>Miscellaneous (Notary etc.)</t>
  </si>
  <si>
    <t>Inspection / Investigation equipment</t>
  </si>
  <si>
    <t xml:space="preserve"> FT hire date</t>
  </si>
  <si>
    <t>DC Training</t>
  </si>
  <si>
    <r>
      <t xml:space="preserve">Accident &amp; Sickness Insurance: CAFCA </t>
    </r>
    <r>
      <rPr>
        <u/>
        <sz val="10"/>
        <rFont val="Arial Narrow"/>
        <family val="2"/>
      </rPr>
      <t xml:space="preserve">Paid </t>
    </r>
    <r>
      <rPr>
        <sz val="10"/>
        <rFont val="Arial Narrow"/>
        <family val="2"/>
      </rPr>
      <t>(VFIS)**</t>
    </r>
  </si>
  <si>
    <r>
      <t xml:space="preserve">Accident &amp; Sickness Insurance: CAFCA </t>
    </r>
    <r>
      <rPr>
        <u/>
        <sz val="10"/>
        <rFont val="Arial Narrow"/>
        <family val="2"/>
      </rPr>
      <t>Vols</t>
    </r>
    <r>
      <rPr>
        <sz val="10"/>
        <rFont val="Arial Narrow"/>
        <family val="2"/>
      </rPr>
      <t xml:space="preserve"> (VFIS)</t>
    </r>
  </si>
  <si>
    <t>Accident and normal death: $25,000 (VFIS)  FT Paid</t>
  </si>
  <si>
    <t xml:space="preserve">CD Environmental deposit </t>
  </si>
  <si>
    <t>Property tax - current year (will get approx. 99% of certified amount)</t>
  </si>
  <si>
    <t>Instruction hours @ $30 (incl. c/o $4,770)</t>
  </si>
  <si>
    <t>Annual</t>
  </si>
  <si>
    <t>at 40 hr. wk.</t>
  </si>
  <si>
    <t>Salaries cont'd</t>
  </si>
  <si>
    <t xml:space="preserve">Years of Service to TCESD3:  </t>
  </si>
  <si>
    <t>Fire Service Instructor</t>
  </si>
  <si>
    <t>Sales Tax Revenue Consultant</t>
  </si>
  <si>
    <t>PREVENTION</t>
  </si>
  <si>
    <t>Principal &amp; Interest</t>
  </si>
  <si>
    <t xml:space="preserve">Full time employees 457 contribution </t>
  </si>
  <si>
    <r>
      <t xml:space="preserve">be paid out of the </t>
    </r>
    <r>
      <rPr>
        <u/>
        <sz val="10"/>
        <rFont val="Arial Narrow"/>
        <family val="2"/>
      </rPr>
      <t>Bond Debt Service Funds</t>
    </r>
  </si>
  <si>
    <t>3.89, 1.37, .90  2010</t>
  </si>
  <si>
    <t>0.48, 1.37, .90  2010</t>
  </si>
  <si>
    <t>5.16, 1.37, .90  2010</t>
  </si>
  <si>
    <t xml:space="preserve">Workers Comp - firefighters </t>
  </si>
  <si>
    <t>Workers Comp - volunteers</t>
  </si>
  <si>
    <t>Wellness program &amp; infectious disease control (10 based on history)</t>
  </si>
  <si>
    <t>[Actually receive 1.96% of sales.]</t>
  </si>
  <si>
    <t>ESD designated, COA serviced</t>
  </si>
  <si>
    <t>On Sunset Valley property</t>
  </si>
  <si>
    <r>
      <t xml:space="preserve">   UNIFORM WORKSHEET  </t>
    </r>
    <r>
      <rPr>
        <b/>
        <sz val="20"/>
        <rFont val="Arial"/>
        <family val="2"/>
      </rPr>
      <t/>
    </r>
  </si>
  <si>
    <t>Fire Officer 1</t>
  </si>
  <si>
    <t>Miscellaneous tools</t>
  </si>
  <si>
    <t>Live Fire PPE rental</t>
  </si>
  <si>
    <t>Number</t>
  </si>
  <si>
    <t>A percentage of our property tax is paid into the Debt Service Funds each month</t>
  </si>
  <si>
    <t>Bills (principal &amp; interest: debt retirement) are paid out of the DSF accounts twice per year only.</t>
  </si>
  <si>
    <t>485, 87, 90, 99</t>
  </si>
  <si>
    <t>VENDING MACHINES</t>
  </si>
  <si>
    <t>Supplies for food and drink machines</t>
  </si>
  <si>
    <t>Vending machine supplies</t>
  </si>
  <si>
    <t>Reimbursements</t>
  </si>
  <si>
    <t>SF</t>
  </si>
  <si>
    <t>Sales tax</t>
  </si>
  <si>
    <t>D. Davis</t>
  </si>
  <si>
    <t>Short Term disability - base x 31 FT</t>
  </si>
  <si>
    <t>Paychex delivery fees (4) plus  Lone Star</t>
  </si>
  <si>
    <t>SUI</t>
  </si>
  <si>
    <t>SUI - $110 x 32 plus $1,000 for sub-max hours PT</t>
  </si>
  <si>
    <t>Fees for Paychex, Section 125, gen processing, delivery</t>
  </si>
  <si>
    <t>3.33, 1.36, 0.85</t>
  </si>
  <si>
    <t>0.44, 1.36, 0.85</t>
  </si>
  <si>
    <t>5.68, 1.36, 0.85</t>
  </si>
  <si>
    <t>PP's</t>
  </si>
  <si>
    <t>Swift Water Tech 1 &amp; 2</t>
  </si>
  <si>
    <t>General Rescue</t>
  </si>
  <si>
    <t>Level 1 &amp; 2 ropes</t>
  </si>
  <si>
    <t>Truck company officer</t>
  </si>
  <si>
    <t>Rehab/hydration supplies</t>
  </si>
  <si>
    <t>Adjunct instructor</t>
  </si>
  <si>
    <t>Professional Association memberships</t>
  </si>
  <si>
    <t>FEMA Match (vehicle)</t>
  </si>
  <si>
    <t>Estimate 2011</t>
  </si>
  <si>
    <t>Central Texas Fire Investigators</t>
  </si>
  <si>
    <t>SOT x 26</t>
  </si>
  <si>
    <t>TML - return of equity from past years</t>
  </si>
  <si>
    <t>Family picnic</t>
  </si>
  <si>
    <t>TML return of equity from past years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</si>
  <si>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</si>
  <si>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</si>
  <si>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</si>
  <si>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</si>
  <si>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</si>
  <si>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</si>
  <si>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</si>
  <si>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</si>
  <si>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</si>
  <si>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</si>
  <si>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</si>
  <si>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</si>
  <si>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</si>
  <si>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</si>
  <si>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</si>
  <si>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RDO S. Caudle</t>
  </si>
  <si>
    <t>DO P. Elkins</t>
  </si>
  <si>
    <t xml:space="preserve">N. Dye </t>
  </si>
  <si>
    <t>Longevity</t>
  </si>
  <si>
    <t>Workers Com - instructors</t>
  </si>
  <si>
    <t xml:space="preserve">Based on recent usage </t>
  </si>
  <si>
    <t>Approx. Based on current year instructor use</t>
  </si>
  <si>
    <t xml:space="preserve">Instructor Pay </t>
  </si>
  <si>
    <t>Workers Comp - admin</t>
  </si>
  <si>
    <t>Workers Comp - instructors</t>
  </si>
  <si>
    <t>632: 15,000, 634: 57,000, 635  16,500</t>
  </si>
  <si>
    <t>Red font:  do not participate in 457</t>
  </si>
  <si>
    <t>instructor pay</t>
  </si>
  <si>
    <t>Workers Comp - commissioners</t>
  </si>
  <si>
    <t>3.23, 1.07, 0.8</t>
  </si>
  <si>
    <t>0.44, 1.07, 0.8</t>
  </si>
  <si>
    <t>5.68, 1.07, 0.8</t>
  </si>
  <si>
    <t>0.43, 1.07, 0.8</t>
  </si>
  <si>
    <t>0.39, 1.07, 0.8</t>
  </si>
  <si>
    <t>457 (b) Plan - full time employees only 10%</t>
  </si>
  <si>
    <t>Locution Station Alerting License &amp; Hardware maint.</t>
  </si>
  <si>
    <t>Sweatshirts</t>
  </si>
  <si>
    <t>TCFP Annual certifications  (40 @ $85)</t>
  </si>
  <si>
    <t>Department team-sponsorship</t>
  </si>
  <si>
    <t>Septic inspection and maintenance CD</t>
  </si>
  <si>
    <t>AC filter grates for CD</t>
  </si>
  <si>
    <t>painting drill tower exterior handrails</t>
  </si>
  <si>
    <t>National Assoc. of EMS Educators (NAEMS)</t>
  </si>
  <si>
    <t>CH</t>
  </si>
  <si>
    <r>
      <t xml:space="preserve">Health Ins. - full time only - </t>
    </r>
    <r>
      <rPr>
        <sz val="9"/>
        <rFont val="Arial Narrow"/>
        <family val="2"/>
      </rPr>
      <t>32 employees</t>
    </r>
    <r>
      <rPr>
        <sz val="8"/>
        <rFont val="Arial Narrow"/>
        <family val="2"/>
      </rPr>
      <t xml:space="preserve"> (includes reimbursement from employees)</t>
    </r>
  </si>
  <si>
    <t>Revenue Rescue (&amp; other billing)</t>
  </si>
  <si>
    <t>Actual Received</t>
  </si>
  <si>
    <t>hourly annual</t>
  </si>
  <si>
    <t>Repairs - miscellaneous PC/network</t>
  </si>
  <si>
    <t>Software - miscellaneous</t>
  </si>
  <si>
    <t>QuickBooks upgrade - Intuit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</si>
  <si>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</si>
  <si>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</si>
  <si>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</si>
  <si>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</si>
  <si>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Estimate</t>
  </si>
  <si>
    <t>Estimate 2012</t>
  </si>
  <si>
    <t>D. Nicholson</t>
  </si>
  <si>
    <t xml:space="preserve">Chief </t>
  </si>
  <si>
    <t xml:space="preserve">Estimate of part time </t>
  </si>
  <si>
    <t>per hour pay</t>
  </si>
  <si>
    <t>years</t>
  </si>
  <si>
    <t>EMS training PT (SK)</t>
  </si>
  <si>
    <t>EMT Acad Coordinator (CH)</t>
  </si>
  <si>
    <t>Rate, experience modifier, discount</t>
  </si>
  <si>
    <t>do not change figures - they will change with payroll figures</t>
  </si>
  <si>
    <t>Texas SUI  @ $56.7 x 32+ allowance $2,186 for PT</t>
  </si>
  <si>
    <t>Accident &amp; Sickness &amp; life - VFIS/CAFCA</t>
  </si>
  <si>
    <t>figure will auto change with payroll</t>
  </si>
  <si>
    <t>Quick Book Checks  (1000)</t>
  </si>
  <si>
    <t>DSHS EMS Coordinator</t>
  </si>
  <si>
    <t>JW</t>
  </si>
  <si>
    <t>Misc. grant matching (LCRA/PEC, Motorola, etc.)</t>
  </si>
  <si>
    <t>Trauma supplies</t>
  </si>
  <si>
    <t>EMS Training (advanced)</t>
  </si>
  <si>
    <t>FY 2012</t>
  </si>
  <si>
    <t>Volunteers based on approximately 1000 hours at $11.00 per hour</t>
  </si>
  <si>
    <t>C</t>
  </si>
  <si>
    <t>D</t>
  </si>
  <si>
    <t>Waste disposal - Allied Waste - Barton Creek</t>
  </si>
  <si>
    <t>Waste -  Texas Disposal - Circle Drive</t>
  </si>
  <si>
    <t>CAD to Records Management System interface</t>
  </si>
  <si>
    <t>SCBA replacement bottles (25/yr)</t>
  </si>
  <si>
    <t>Cylinder Hydro (68 x $30)</t>
  </si>
  <si>
    <t>Portable Cascade Hydro</t>
  </si>
  <si>
    <t>RIC Bags</t>
  </si>
  <si>
    <t>Budget Amendment</t>
  </si>
  <si>
    <t>Extrication Tool Replacement</t>
  </si>
  <si>
    <t>DO R. Lemke</t>
  </si>
  <si>
    <t>J. Beard</t>
  </si>
  <si>
    <t>Business Manager</t>
  </si>
  <si>
    <t>Accountability tags</t>
  </si>
  <si>
    <t>Structural Boots</t>
  </si>
  <si>
    <t>Structural helmets face shields</t>
  </si>
  <si>
    <t>Structural Helmets with leather fronts</t>
  </si>
  <si>
    <t>Structural Nomex hoods</t>
  </si>
  <si>
    <t>Structural Turnout Coats</t>
  </si>
  <si>
    <t>Structural turnout gloves</t>
  </si>
  <si>
    <t>Structural Turnout Pants</t>
  </si>
  <si>
    <t>Structural Turnout suspenders</t>
  </si>
  <si>
    <t>Wildland Goggles</t>
  </si>
  <si>
    <t>Wildland Helmets</t>
  </si>
  <si>
    <t>Wildland Shelters</t>
  </si>
  <si>
    <t>Wildland Turnout Coats</t>
  </si>
  <si>
    <t>Wildland turnout gloves</t>
  </si>
  <si>
    <t>Wildland Turnout Pants</t>
  </si>
  <si>
    <t>Traffic Vests</t>
  </si>
  <si>
    <t>Based on recent usage</t>
  </si>
  <si>
    <r>
      <t xml:space="preserve">SAFE-D </t>
    </r>
    <r>
      <rPr>
        <sz val="10"/>
        <rFont val="Arial Narrow"/>
        <family val="2"/>
      </rPr>
      <t>Conference</t>
    </r>
  </si>
  <si>
    <t>SF, SB, RB</t>
  </si>
  <si>
    <t>Member/Commissioner Meetings</t>
  </si>
  <si>
    <t>CATRAC</t>
  </si>
  <si>
    <t>CH, JV</t>
  </si>
  <si>
    <t>Postage / Certified mail costs</t>
  </si>
  <si>
    <t>IT consultant/contract services</t>
  </si>
  <si>
    <t>FEMA Match (training props and equipment)</t>
  </si>
  <si>
    <t>Hydrant band markers</t>
  </si>
  <si>
    <t>Fidelity (Crime) Bond</t>
  </si>
  <si>
    <t>State-Imposed Taxes, Surcharges, &amp; Fees</t>
  </si>
  <si>
    <t>National Registry Recertification</t>
  </si>
  <si>
    <t>Cell phones</t>
  </si>
  <si>
    <t>Debt Service 2013 bonds</t>
  </si>
  <si>
    <t>Print Shop (forms, etc.)</t>
  </si>
  <si>
    <t>Fire Sprinkler Annual Inspection</t>
  </si>
  <si>
    <t>incl</t>
  </si>
  <si>
    <t>Fire Alarm monitoring</t>
  </si>
  <si>
    <t>Short term disability for 32 FT Paid (Colonial)</t>
  </si>
  <si>
    <t>VEHICLES  (includes apparatus)</t>
  </si>
  <si>
    <t>Records Management System expansion</t>
  </si>
  <si>
    <t>SOURCE OF REVENUE</t>
  </si>
  <si>
    <t>REVENUE</t>
  </si>
  <si>
    <t>Cert</t>
  </si>
  <si>
    <t>Long</t>
  </si>
  <si>
    <t>Prevention PT (OT)</t>
  </si>
  <si>
    <t>Wellness Program (Physicals &amp; Workout Equipment)</t>
  </si>
  <si>
    <t>moved to Office Supplies</t>
  </si>
  <si>
    <t>Assorted general supplies (Home Depot, Lowes)</t>
  </si>
  <si>
    <t>Fire Extinguisher re-charging for each station</t>
  </si>
  <si>
    <t>TriState Cleaning Supplies</t>
  </si>
  <si>
    <t>Vacuum cleaners</t>
  </si>
  <si>
    <t>Website design, maintenance, and hosting</t>
  </si>
  <si>
    <t xml:space="preserve">Online Back-up </t>
  </si>
  <si>
    <t>Desktop Computer Replacements</t>
  </si>
  <si>
    <t>Travis County Clerk for ESD postings</t>
  </si>
  <si>
    <t>Drill Tower Annual Inspection</t>
  </si>
  <si>
    <t>Overhead Door PM Contract</t>
  </si>
  <si>
    <t>Payroll</t>
  </si>
  <si>
    <t>Fire Code Reference Books</t>
  </si>
  <si>
    <t>Oak Hill Business &amp; Professional Assoc (OHBPA)</t>
  </si>
  <si>
    <t>International Association Fire Chiefs</t>
  </si>
  <si>
    <t>Texas Fire Marshal's Association</t>
  </si>
  <si>
    <t>Meeting Support - officers, admin, commissioners, etc.</t>
  </si>
  <si>
    <t>SCBA Replacement Packs</t>
  </si>
  <si>
    <t>Imperium Accoutability System</t>
  </si>
  <si>
    <t>Small equipment maintenance &amp; repair</t>
  </si>
  <si>
    <t>Convert Eng303 speedlays to Blitz Line</t>
  </si>
  <si>
    <t>Hose Trays for QNT302 hose bundles</t>
  </si>
  <si>
    <t>ICS Accountability System (Integrated SCBA)</t>
  </si>
  <si>
    <t>Upgrade TIC on Qnt302 and Eng303</t>
  </si>
  <si>
    <t>SUNSET VALLEY REIMBURSEMENT</t>
  </si>
  <si>
    <t xml:space="preserve">VEHICLE MAINTENANCE &amp; REPAIR      </t>
  </si>
  <si>
    <t>EMS SUPPLIES</t>
  </si>
  <si>
    <t>UNIFORMS &amp; PROTECTIVE GEAR</t>
  </si>
  <si>
    <t>Misc. Supplies- Penlights, Scissors, Etc.</t>
  </si>
  <si>
    <t>REHAB SUPPLIES</t>
  </si>
  <si>
    <t>FUEL</t>
  </si>
  <si>
    <t>DISPATCH &amp; COMMUNICATION</t>
  </si>
  <si>
    <t>ALPHA PAGERS</t>
  </si>
  <si>
    <t>SALES TAX COLLECTION COSTS</t>
  </si>
  <si>
    <t>TAX ASSESSMENT/COLLECTION FEES</t>
  </si>
  <si>
    <t>TCFP Certification Classes (Inst, Ofcr, DO, etc)</t>
  </si>
  <si>
    <t>Swift water tech refresher</t>
  </si>
  <si>
    <t>NFA courses</t>
  </si>
  <si>
    <t>See TCFP</t>
  </si>
  <si>
    <t>Technical Rescue</t>
  </si>
  <si>
    <t>See Tech Res</t>
  </si>
  <si>
    <t>EMS Continuing Education</t>
  </si>
  <si>
    <t>See EMS CE</t>
  </si>
  <si>
    <t>Training Field Materials &amp; Supplies</t>
  </si>
  <si>
    <t>See Trng Fld</t>
  </si>
  <si>
    <t>FIRE &amp; RESCUE TRAINING</t>
  </si>
  <si>
    <t>SEMINARS &amp; CONFERENCES</t>
  </si>
  <si>
    <t>See Gear Rpr</t>
  </si>
  <si>
    <t>Drill Field Supplies (hay, propane, wood, etc.)</t>
  </si>
  <si>
    <t>EMPLOYEE &amp; MEMBER RECOGNITION</t>
  </si>
  <si>
    <t>FACILITIES &amp; PERSONNEL CERTS</t>
  </si>
  <si>
    <t>A/C Replacement (older units)</t>
  </si>
  <si>
    <t>Water quality pond maintenance (Station 301)</t>
  </si>
  <si>
    <t>OFFICE SUPPLIES</t>
  </si>
  <si>
    <t>STATION SUPPLIES</t>
  </si>
  <si>
    <t>BANK FEES</t>
  </si>
  <si>
    <t>DUES &amp; SUBSCRIPTIONS</t>
  </si>
  <si>
    <t>RMS software annual maintenance</t>
  </si>
  <si>
    <t>INFORMATION TECHNOLOGY</t>
  </si>
  <si>
    <t>POSTAGE</t>
  </si>
  <si>
    <t>PROPERTY &amp; LIABILITY INSURANCE</t>
  </si>
  <si>
    <t>PROFESSIONAL SERVICES</t>
  </si>
  <si>
    <t>PUBLIC NOTICES/ARTICLES</t>
  </si>
  <si>
    <t>TELEPHONES</t>
  </si>
  <si>
    <t>UTILITIES</t>
  </si>
  <si>
    <t>BOND DEBT SERVICE</t>
  </si>
  <si>
    <t>ESD COMMISSIONER COMPENSATION</t>
  </si>
  <si>
    <t>PUBLIC EDUCATION</t>
  </si>
  <si>
    <t>Fire Hydrant Inspection</t>
  </si>
  <si>
    <t>NFPA Online Code (subscription)</t>
  </si>
  <si>
    <t>E-mail hosting</t>
  </si>
  <si>
    <t>Heat - Barton Creek - Natural Gas</t>
  </si>
  <si>
    <t>Heat &amp; Drill Field (Training) - Circle Drive - Propane</t>
  </si>
  <si>
    <t>Open House supplies</t>
  </si>
  <si>
    <t>US Bank - copiers</t>
  </si>
  <si>
    <t>Capital apparatus/equipment purchases ***</t>
  </si>
  <si>
    <t>Maintenance on Station Backup Generators</t>
  </si>
  <si>
    <t>Lawn Equipment (mowers and small equipment)</t>
  </si>
  <si>
    <t>Replacement Washer &amp; Dryer Equipment</t>
  </si>
  <si>
    <t>Maintenance on Ice Machines (both stations)</t>
  </si>
  <si>
    <t>Replace Day Room Equipment (both stations)</t>
  </si>
  <si>
    <t>Gas Monitor Maintenance Agreement</t>
  </si>
  <si>
    <t>Occupational Health Testing</t>
  </si>
  <si>
    <t>to Pub Ed</t>
  </si>
  <si>
    <t>Battalion Chief</t>
  </si>
  <si>
    <t>FF 2015</t>
  </si>
  <si>
    <t>DO 2015</t>
  </si>
  <si>
    <t>LT 2015</t>
  </si>
  <si>
    <t>CAP 2015</t>
  </si>
  <si>
    <t>FF 2016</t>
  </si>
  <si>
    <t>DO 2016</t>
  </si>
  <si>
    <t>LT 2016</t>
  </si>
  <si>
    <t>CAP 2016</t>
  </si>
  <si>
    <t>Collar Microphones</t>
  </si>
  <si>
    <t>Annual SCBA Flow Test 30 @ $35</t>
  </si>
  <si>
    <t>SCBA Mask Fit Test 35 @ $29</t>
  </si>
  <si>
    <t>Scott SCBA masks - 4 @ $255</t>
  </si>
  <si>
    <t>Vehicle Inspections &amp; Registrations</t>
  </si>
  <si>
    <t>Command Vehicle Slide Out Trays</t>
  </si>
  <si>
    <t>Gas Monitor</t>
  </si>
  <si>
    <t>Thermal Imaging Cameras</t>
  </si>
  <si>
    <t>Portable Monitors</t>
  </si>
  <si>
    <t>Training Buildings and Props</t>
  </si>
  <si>
    <t>Highrise Conference</t>
  </si>
  <si>
    <t>Station 301 kitchen remodel</t>
  </si>
  <si>
    <t>Folding Water Tank</t>
  </si>
  <si>
    <t>Scout Project Support for Grounds Improvements</t>
  </si>
  <si>
    <r>
      <t>Fire Acad Coordinator</t>
    </r>
    <r>
      <rPr>
        <sz val="8"/>
        <rFont val="Arial Narrow"/>
        <family val="2"/>
      </rPr>
      <t xml:space="preserve"> (PJ)</t>
    </r>
  </si>
  <si>
    <t>PPE</t>
  </si>
  <si>
    <t>RDO A. Lee</t>
  </si>
  <si>
    <t>RDO B. Flood</t>
  </si>
  <si>
    <t>DO K. Grieser</t>
  </si>
  <si>
    <t>Capt S. Barfield</t>
  </si>
  <si>
    <t>Capt R. Bergman</t>
  </si>
  <si>
    <t>Lt T. Koiro</t>
  </si>
  <si>
    <t>Lt J. Torres</t>
  </si>
  <si>
    <t>J. Hester</t>
  </si>
  <si>
    <t>TIFMAS Symposium</t>
  </si>
  <si>
    <t>JW, RH, JP</t>
  </si>
  <si>
    <t>JW, SB, JP</t>
  </si>
  <si>
    <t>Warehouse Club memberships @ $55 each</t>
  </si>
  <si>
    <t>Elected Official Bond (Treasurer)</t>
  </si>
  <si>
    <t>Community Event Mailer, 2 times per year</t>
  </si>
  <si>
    <t>Rescue / Extrication Gloves</t>
  </si>
  <si>
    <t>2020: Drill Tower Inspection ~$5,000</t>
  </si>
  <si>
    <t>TCFP Initial Certifications (20@85)</t>
  </si>
  <si>
    <t>Fire Sprinkler System Expansion</t>
  </si>
  <si>
    <t>General Supplies</t>
  </si>
  <si>
    <t>Mobile Computing (EMS Reporting)</t>
  </si>
  <si>
    <t>Internet Connectivity Hardware</t>
  </si>
  <si>
    <t>Phone System Interface</t>
  </si>
  <si>
    <t>Digital Desktop Phones (hardware)</t>
  </si>
  <si>
    <t>Phone Service (numbers plus talk time)</t>
  </si>
  <si>
    <t>Cable TV Service</t>
  </si>
  <si>
    <t>Internet &amp; Phone Connectivity</t>
  </si>
  <si>
    <t>Pancake Breakfast</t>
  </si>
  <si>
    <t>Quarterly Outreach Materials</t>
  </si>
  <si>
    <t>Engineer</t>
  </si>
  <si>
    <t>Fire Academy fees</t>
  </si>
  <si>
    <t>Pullover Response Pants</t>
  </si>
  <si>
    <t>Health Insurance - TAC credit</t>
  </si>
  <si>
    <t>DO C. Ford</t>
  </si>
  <si>
    <t>DO J. Martinez</t>
  </si>
  <si>
    <t>increase</t>
  </si>
  <si>
    <t>Capt A. Lyngaas</t>
  </si>
  <si>
    <t>Approved FY2016 Budget</t>
  </si>
  <si>
    <t>Proposed FY2017 Budget</t>
  </si>
  <si>
    <t>Vending machines</t>
  </si>
  <si>
    <t>BENEFITS</t>
  </si>
  <si>
    <t>FF 2017</t>
  </si>
  <si>
    <t>DO 2017</t>
  </si>
  <si>
    <t>LT 2017</t>
  </si>
  <si>
    <t>CAP 2017</t>
  </si>
  <si>
    <t>LONGEVITY INCENTIVE - Effective 10/01/2017</t>
  </si>
  <si>
    <t>i</t>
  </si>
  <si>
    <t>5 commissioners, 16 meetings</t>
  </si>
  <si>
    <t>*** 1 Replacement Engine</t>
  </si>
  <si>
    <t>** lease to be paid annually through July 2027 (balance paid in full 2016)</t>
  </si>
  <si>
    <t>EMT Certification Courses</t>
  </si>
  <si>
    <t>Fire Academy</t>
  </si>
  <si>
    <t>Rehab Supplies</t>
  </si>
  <si>
    <t>EMS Supplies</t>
  </si>
  <si>
    <t>Add MDC (Support 301 &amp; Tender 301)</t>
  </si>
  <si>
    <t>Trunked Radio User Fee @ $23.37 per radio/month</t>
  </si>
  <si>
    <t>Legal consultants - KC, JO, KDS</t>
  </si>
  <si>
    <t>Small office equipment (staplers, etc.)</t>
  </si>
  <si>
    <t>Miscellaneous Expendables (pens, staples, clips etc.)</t>
  </si>
  <si>
    <t>Training Division Supplies</t>
  </si>
  <si>
    <t>Fire &amp; EMT Academy Supplies</t>
  </si>
  <si>
    <t>Station 302 lighting system replacement (LEDs)</t>
  </si>
  <si>
    <t>Master's Degree</t>
  </si>
  <si>
    <t>Bachelor's Degree</t>
  </si>
  <si>
    <t>Associate's Degree</t>
  </si>
  <si>
    <t>Operational Rates of Pay</t>
  </si>
  <si>
    <t>IAFC Fire Rescue International (Charlotte, NC 2017)</t>
  </si>
  <si>
    <t>Commissioners + JW</t>
  </si>
  <si>
    <t>Officers</t>
  </si>
  <si>
    <t>RH + 4 Ops</t>
  </si>
  <si>
    <t>CH + 2 Ops</t>
  </si>
  <si>
    <t xml:space="preserve">Professional Development (Officers) </t>
  </si>
  <si>
    <t>Miscellaneous Seminars</t>
  </si>
  <si>
    <t>Fire Department Instructors' Conference (FDIC)</t>
  </si>
  <si>
    <t>1 BC + 1 Ops</t>
  </si>
  <si>
    <t>JW + 1 BC + 1 Ops</t>
  </si>
  <si>
    <t>T-Shirt</t>
  </si>
  <si>
    <t>T-Shirts</t>
  </si>
  <si>
    <t>Replace manifolds (Phase 2 of 2)</t>
  </si>
  <si>
    <t>Scott SCBA Mask with embedded TIC</t>
  </si>
  <si>
    <t>Automated External Difibrulators</t>
  </si>
  <si>
    <t>Blue Card Command Trng (Drivers, Officers, Chiefs)</t>
  </si>
  <si>
    <t>Building &amp; Props Refurbishment</t>
  </si>
  <si>
    <t>Painting Station 301</t>
  </si>
  <si>
    <t>Admin Asst (PT)</t>
  </si>
  <si>
    <t>Lt J. Ramsdell</t>
  </si>
  <si>
    <t>DOC. Montgomery</t>
  </si>
  <si>
    <t>A. Hoffman</t>
  </si>
  <si>
    <t>G. Schmitz</t>
  </si>
  <si>
    <t>L. Dawson</t>
  </si>
  <si>
    <t>LODD Conference (Hurst, TX)</t>
  </si>
  <si>
    <t>JW + 1 Ops</t>
  </si>
  <si>
    <t>Modify TIFMAS Vehicle (brackets, etc.)</t>
  </si>
  <si>
    <t>Fire Hose Tester (pump)</t>
  </si>
  <si>
    <t>New Engine Equipment (Misc Tools &amp; Equipment)</t>
  </si>
  <si>
    <t>Motorola APX Multi-Band Portable Radios</t>
  </si>
  <si>
    <t>JW + 3 Ops</t>
  </si>
  <si>
    <t>Administration fees - bond debt - Wells Fargo</t>
  </si>
  <si>
    <t>Audit - CPA</t>
  </si>
  <si>
    <t>A. Goldthwaite</t>
  </si>
  <si>
    <t>J. Marsh</t>
  </si>
  <si>
    <t>Shift rate per hour</t>
  </si>
  <si>
    <t>Admin rate per hour</t>
  </si>
  <si>
    <t>Budgetary Estimate</t>
  </si>
  <si>
    <t>Debt Service Interest</t>
  </si>
  <si>
    <t>APX Mobile Radios (New ENG301, QNT302)</t>
  </si>
  <si>
    <t>Mobile Radios (new Engine, Quint 302)</t>
  </si>
  <si>
    <t>J. Napier</t>
  </si>
  <si>
    <t>Hourly Rate</t>
  </si>
  <si>
    <t>JW, RH, JP, HH</t>
  </si>
</sst>
</file>

<file path=xl/styles.xml><?xml version="1.0" encoding="utf-8"?>
<styleSheet xmlns="http://schemas.openxmlformats.org/spreadsheetml/2006/main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d\-mmm\-yy;@"/>
    <numFmt numFmtId="167" formatCode="m/d/yyyy;@"/>
    <numFmt numFmtId="168" formatCode="#,##0.0_);[Red]\(#,##0.0\)"/>
    <numFmt numFmtId="169" formatCode="0.0%"/>
  </numFmts>
  <fonts count="59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name val="Arial"/>
      <family val="2"/>
    </font>
    <font>
      <u val="singleAccounting"/>
      <sz val="10"/>
      <name val="Arial Narrow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i/>
      <sz val="9"/>
      <name val="Arial Narrow"/>
      <family val="2"/>
    </font>
    <font>
      <sz val="16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b/>
      <u/>
      <sz val="10"/>
      <name val="Arial Narrow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i/>
      <sz val="9"/>
      <name val="Arial"/>
      <family val="2"/>
    </font>
    <font>
      <sz val="36"/>
      <name val="Arial"/>
      <family val="2"/>
    </font>
    <font>
      <b/>
      <sz val="10"/>
      <color theme="4"/>
      <name val="Arial Narrow"/>
      <family val="2"/>
    </font>
    <font>
      <sz val="14"/>
      <name val="Arial Narrow"/>
      <family val="2"/>
    </font>
    <font>
      <strike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70C0"/>
      <name val="Arial Narrow"/>
      <family val="2"/>
    </font>
    <font>
      <sz val="36"/>
      <name val="Arial Narrow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986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7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44" fontId="3" fillId="0" borderId="0" xfId="1" applyFont="1" applyBorder="1"/>
    <xf numFmtId="44" fontId="0" fillId="0" borderId="0" xfId="0" applyNumberFormat="1"/>
    <xf numFmtId="0" fontId="12" fillId="0" borderId="0" xfId="0" applyFont="1" applyBorder="1" applyAlignment="1">
      <alignment horizontal="left"/>
    </xf>
    <xf numFmtId="0" fontId="0" fillId="0" borderId="0" xfId="0" quotePrefix="1"/>
    <xf numFmtId="0" fontId="20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8" fillId="0" borderId="13" xfId="0" applyFont="1" applyFill="1" applyBorder="1" applyAlignment="1">
      <alignment horizontal="left"/>
    </xf>
    <xf numFmtId="0" fontId="21" fillId="0" borderId="0" xfId="0" applyFont="1" applyBorder="1"/>
    <xf numFmtId="44" fontId="4" fillId="0" borderId="16" xfId="1" applyFont="1" applyBorder="1"/>
    <xf numFmtId="0" fontId="9" fillId="0" borderId="0" xfId="0" applyFont="1"/>
    <xf numFmtId="0" fontId="0" fillId="0" borderId="0" xfId="0" applyNumberFormat="1" applyAlignment="1">
      <alignment horizontal="center"/>
    </xf>
    <xf numFmtId="0" fontId="15" fillId="0" borderId="0" xfId="0" applyFont="1" applyBorder="1"/>
    <xf numFmtId="0" fontId="12" fillId="0" borderId="0" xfId="0" applyFont="1" applyBorder="1"/>
    <xf numFmtId="44" fontId="12" fillId="0" borderId="0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44" fontId="15" fillId="0" borderId="16" xfId="1" applyFont="1" applyBorder="1"/>
    <xf numFmtId="0" fontId="12" fillId="0" borderId="1" xfId="0" applyFont="1" applyBorder="1" applyAlignment="1">
      <alignment horizontal="left"/>
    </xf>
    <xf numFmtId="0" fontId="9" fillId="0" borderId="1" xfId="0" applyFont="1" applyBorder="1"/>
    <xf numFmtId="44" fontId="12" fillId="0" borderId="16" xfId="1" applyFont="1" applyBorder="1" applyAlignment="1">
      <alignment horizontal="left"/>
    </xf>
    <xf numFmtId="0" fontId="17" fillId="0" borderId="20" xfId="0" applyFont="1" applyBorder="1" applyAlignment="1">
      <alignment horizontal="center"/>
    </xf>
    <xf numFmtId="0" fontId="12" fillId="0" borderId="20" xfId="0" applyFont="1" applyBorder="1" applyAlignment="1"/>
    <xf numFmtId="0" fontId="12" fillId="0" borderId="2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44" fontId="9" fillId="0" borderId="1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17" fillId="0" borderId="16" xfId="0" applyFont="1" applyBorder="1" applyAlignment="1">
      <alignment horizontal="center"/>
    </xf>
    <xf numFmtId="44" fontId="12" fillId="0" borderId="16" xfId="0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/>
    </xf>
    <xf numFmtId="44" fontId="12" fillId="0" borderId="21" xfId="0" applyNumberFormat="1" applyFont="1" applyBorder="1" applyAlignment="1">
      <alignment horizontal="center"/>
    </xf>
    <xf numFmtId="44" fontId="12" fillId="0" borderId="0" xfId="1" applyFont="1" applyBorder="1"/>
    <xf numFmtId="0" fontId="17" fillId="0" borderId="0" xfId="0" applyFont="1" applyBorder="1"/>
    <xf numFmtId="0" fontId="12" fillId="0" borderId="22" xfId="0" applyFont="1" applyBorder="1" applyAlignment="1">
      <alignment horizontal="left"/>
    </xf>
    <xf numFmtId="44" fontId="12" fillId="0" borderId="16" xfId="1" applyFont="1" applyBorder="1" applyAlignment="1">
      <alignment horizontal="center"/>
    </xf>
    <xf numFmtId="44" fontId="12" fillId="0" borderId="16" xfId="1" applyFont="1" applyBorder="1"/>
    <xf numFmtId="44" fontId="12" fillId="0" borderId="19" xfId="1" applyFont="1" applyBorder="1" applyAlignment="1">
      <alignment horizontal="left"/>
    </xf>
    <xf numFmtId="0" fontId="9" fillId="0" borderId="16" xfId="0" applyFont="1" applyBorder="1"/>
    <xf numFmtId="0" fontId="15" fillId="0" borderId="16" xfId="0" applyFont="1" applyBorder="1" applyAlignment="1">
      <alignment horizontal="center"/>
    </xf>
    <xf numFmtId="0" fontId="12" fillId="0" borderId="20" xfId="0" applyFont="1" applyBorder="1"/>
    <xf numFmtId="44" fontId="12" fillId="0" borderId="16" xfId="1" applyNumberFormat="1" applyFont="1" applyBorder="1"/>
    <xf numFmtId="0" fontId="12" fillId="0" borderId="16" xfId="0" applyFont="1" applyBorder="1"/>
    <xf numFmtId="0" fontId="22" fillId="0" borderId="16" xfId="0" applyFont="1" applyBorder="1" applyAlignment="1">
      <alignment horizontal="left"/>
    </xf>
    <xf numFmtId="44" fontId="9" fillId="0" borderId="16" xfId="0" applyNumberFormat="1" applyFont="1" applyBorder="1"/>
    <xf numFmtId="0" fontId="9" fillId="2" borderId="16" xfId="0" applyFont="1" applyFill="1" applyBorder="1"/>
    <xf numFmtId="0" fontId="9" fillId="0" borderId="16" xfId="0" applyFont="1" applyBorder="1" applyAlignment="1"/>
    <xf numFmtId="44" fontId="9" fillId="0" borderId="16" xfId="1" applyNumberFormat="1" applyFont="1" applyBorder="1" applyAlignment="1">
      <alignment horizontal="center"/>
    </xf>
    <xf numFmtId="44" fontId="9" fillId="0" borderId="16" xfId="0" applyNumberFormat="1" applyFont="1" applyFill="1" applyBorder="1"/>
    <xf numFmtId="44" fontId="9" fillId="0" borderId="21" xfId="0" applyNumberFormat="1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44" fontId="12" fillId="0" borderId="16" xfId="1" applyNumberFormat="1" applyFont="1" applyBorder="1" applyAlignment="1">
      <alignment horizontal="center"/>
    </xf>
    <xf numFmtId="44" fontId="12" fillId="0" borderId="16" xfId="0" applyNumberFormat="1" applyFont="1" applyBorder="1"/>
    <xf numFmtId="0" fontId="12" fillId="0" borderId="16" xfId="0" applyFont="1" applyBorder="1" applyAlignment="1">
      <alignment horizontal="left"/>
    </xf>
    <xf numFmtId="44" fontId="12" fillId="0" borderId="16" xfId="1" applyNumberFormat="1" applyFont="1" applyFill="1" applyBorder="1" applyAlignment="1"/>
    <xf numFmtId="0" fontId="12" fillId="0" borderId="16" xfId="0" applyFont="1" applyFill="1" applyBorder="1" applyAlignment="1">
      <alignment vertical="top"/>
    </xf>
    <xf numFmtId="0" fontId="12" fillId="0" borderId="19" xfId="0" applyFont="1" applyBorder="1"/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2" fillId="0" borderId="16" xfId="0" applyFont="1" applyBorder="1" applyAlignment="1"/>
    <xf numFmtId="0" fontId="9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28" xfId="0" applyNumberFormat="1" applyFont="1" applyBorder="1" applyAlignment="1">
      <alignment horizontal="center"/>
    </xf>
    <xf numFmtId="0" fontId="9" fillId="0" borderId="29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9" fillId="0" borderId="28" xfId="0" applyNumberFormat="1" applyFont="1" applyFill="1" applyBorder="1" applyAlignment="1">
      <alignment horizontal="center"/>
    </xf>
    <xf numFmtId="0" fontId="9" fillId="0" borderId="29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44" fontId="5" fillId="3" borderId="25" xfId="1" applyFont="1" applyFill="1" applyBorder="1"/>
    <xf numFmtId="0" fontId="12" fillId="0" borderId="23" xfId="0" applyFont="1" applyBorder="1" applyAlignment="1">
      <alignment horizontal="center"/>
    </xf>
    <xf numFmtId="44" fontId="12" fillId="0" borderId="21" xfId="1" applyFont="1" applyBorder="1" applyAlignment="1">
      <alignment horizontal="center"/>
    </xf>
    <xf numFmtId="0" fontId="15" fillId="0" borderId="0" xfId="0" applyFont="1" applyBorder="1" applyAlignment="1"/>
    <xf numFmtId="0" fontId="15" fillId="3" borderId="25" xfId="0" applyFont="1" applyFill="1" applyBorder="1" applyAlignment="1">
      <alignment horizontal="center"/>
    </xf>
    <xf numFmtId="0" fontId="9" fillId="0" borderId="0" xfId="0" applyFont="1" applyBorder="1"/>
    <xf numFmtId="0" fontId="18" fillId="0" borderId="0" xfId="0" applyFont="1" applyBorder="1"/>
    <xf numFmtId="44" fontId="18" fillId="3" borderId="25" xfId="1" applyFont="1" applyFill="1" applyBorder="1"/>
    <xf numFmtId="0" fontId="15" fillId="0" borderId="0" xfId="0" applyFont="1" applyBorder="1" applyAlignment="1">
      <alignment horizontal="left"/>
    </xf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7" fillId="0" borderId="16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44" fontId="12" fillId="0" borderId="19" xfId="1" applyFont="1" applyBorder="1"/>
    <xf numFmtId="0" fontId="12" fillId="0" borderId="46" xfId="0" applyFont="1" applyBorder="1" applyAlignment="1">
      <alignment horizontal="center"/>
    </xf>
    <xf numFmtId="0" fontId="17" fillId="0" borderId="16" xfId="0" applyFont="1" applyBorder="1"/>
    <xf numFmtId="44" fontId="12" fillId="0" borderId="16" xfId="1" applyNumberFormat="1" applyFont="1" applyFill="1" applyBorder="1"/>
    <xf numFmtId="44" fontId="12" fillId="0" borderId="19" xfId="1" applyNumberFormat="1" applyFont="1" applyBorder="1" applyAlignment="1">
      <alignment horizontal="center"/>
    </xf>
    <xf numFmtId="44" fontId="12" fillId="0" borderId="19" xfId="0" applyNumberFormat="1" applyFont="1" applyBorder="1"/>
    <xf numFmtId="44" fontId="12" fillId="0" borderId="16" xfId="0" applyNumberFormat="1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2" fillId="0" borderId="0" xfId="0" applyFont="1"/>
    <xf numFmtId="44" fontId="12" fillId="0" borderId="21" xfId="0" applyNumberFormat="1" applyFont="1" applyBorder="1"/>
    <xf numFmtId="0" fontId="12" fillId="0" borderId="46" xfId="0" applyFont="1" applyBorder="1"/>
    <xf numFmtId="0" fontId="26" fillId="0" borderId="16" xfId="1" applyNumberFormat="1" applyFont="1" applyBorder="1" applyAlignment="1">
      <alignment horizontal="center"/>
    </xf>
    <xf numFmtId="0" fontId="25" fillId="0" borderId="16" xfId="0" applyFont="1" applyBorder="1"/>
    <xf numFmtId="0" fontId="25" fillId="0" borderId="16" xfId="0" applyFont="1" applyBorder="1" applyAlignment="1">
      <alignment horizontal="left"/>
    </xf>
    <xf numFmtId="0" fontId="27" fillId="0" borderId="16" xfId="0" applyFont="1" applyBorder="1" applyAlignment="1">
      <alignment horizontal="center"/>
    </xf>
    <xf numFmtId="44" fontId="27" fillId="0" borderId="16" xfId="1" applyFont="1" applyBorder="1" applyAlignment="1">
      <alignment horizontal="center"/>
    </xf>
    <xf numFmtId="44" fontId="27" fillId="0" borderId="16" xfId="1" applyFont="1" applyBorder="1"/>
    <xf numFmtId="49" fontId="12" fillId="0" borderId="16" xfId="0" applyNumberFormat="1" applyFont="1" applyBorder="1" applyAlignment="1">
      <alignment horizontal="left"/>
    </xf>
    <xf numFmtId="44" fontId="12" fillId="0" borderId="16" xfId="1" applyNumberFormat="1" applyFont="1" applyBorder="1" applyAlignment="1">
      <alignment horizontal="left"/>
    </xf>
    <xf numFmtId="44" fontId="12" fillId="0" borderId="46" xfId="0" applyNumberFormat="1" applyFont="1" applyBorder="1" applyAlignment="1">
      <alignment horizontal="center"/>
    </xf>
    <xf numFmtId="0" fontId="26" fillId="0" borderId="0" xfId="0" applyFont="1" applyBorder="1"/>
    <xf numFmtId="0" fontId="22" fillId="0" borderId="16" xfId="0" applyFont="1" applyBorder="1" applyAlignment="1"/>
    <xf numFmtId="0" fontId="27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9" fillId="0" borderId="0" xfId="0" applyFont="1"/>
    <xf numFmtId="44" fontId="17" fillId="0" borderId="16" xfId="1" applyNumberFormat="1" applyFont="1" applyBorder="1" applyAlignment="1">
      <alignment horizontal="center"/>
    </xf>
    <xf numFmtId="44" fontId="12" fillId="0" borderId="51" xfId="0" applyNumberFormat="1" applyFont="1" applyBorder="1" applyAlignment="1">
      <alignment horizontal="center"/>
    </xf>
    <xf numFmtId="44" fontId="26" fillId="0" borderId="16" xfId="1" applyNumberFormat="1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12" fillId="0" borderId="20" xfId="0" applyFont="1" applyBorder="1" applyAlignment="1">
      <alignment wrapText="1"/>
    </xf>
    <xf numFmtId="44" fontId="12" fillId="0" borderId="21" xfId="1" applyFont="1" applyBorder="1"/>
    <xf numFmtId="0" fontId="9" fillId="0" borderId="23" xfId="0" applyFont="1" applyBorder="1" applyAlignment="1">
      <alignment horizontal="center"/>
    </xf>
    <xf numFmtId="42" fontId="9" fillId="0" borderId="21" xfId="1" applyNumberFormat="1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/>
    <xf numFmtId="0" fontId="12" fillId="0" borderId="0" xfId="0" applyFont="1" applyFill="1" applyBorder="1"/>
    <xf numFmtId="0" fontId="21" fillId="0" borderId="0" xfId="0" applyFont="1" applyAlignment="1">
      <alignment horizontal="center" vertical="center"/>
    </xf>
    <xf numFmtId="42" fontId="9" fillId="2" borderId="2" xfId="0" applyNumberFormat="1" applyFont="1" applyFill="1" applyBorder="1"/>
    <xf numFmtId="42" fontId="9" fillId="2" borderId="12" xfId="0" applyNumberFormat="1" applyFont="1" applyFill="1" applyBorder="1"/>
    <xf numFmtId="42" fontId="9" fillId="2" borderId="33" xfId="0" applyNumberFormat="1" applyFont="1" applyFill="1" applyBorder="1"/>
    <xf numFmtId="0" fontId="0" fillId="0" borderId="0" xfId="0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38" xfId="0" applyFont="1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13" fillId="0" borderId="62" xfId="0" applyFont="1" applyBorder="1" applyAlignment="1">
      <alignment horizontal="left" vertical="center"/>
    </xf>
    <xf numFmtId="0" fontId="0" fillId="0" borderId="37" xfId="0" applyBorder="1" applyAlignment="1">
      <alignment horizontal="centerContinuous" vertical="center"/>
    </xf>
    <xf numFmtId="0" fontId="0" fillId="0" borderId="37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44" xfId="0" applyBorder="1" applyAlignment="1">
      <alignment vertical="center"/>
    </xf>
    <xf numFmtId="0" fontId="6" fillId="0" borderId="44" xfId="0" applyFont="1" applyBorder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44" xfId="0" applyFont="1" applyBorder="1" applyAlignment="1">
      <alignment horizontal="right" vertical="center"/>
    </xf>
    <xf numFmtId="0" fontId="0" fillId="0" borderId="49" xfId="0" applyBorder="1"/>
    <xf numFmtId="0" fontId="13" fillId="4" borderId="26" xfId="0" applyFon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164" fontId="0" fillId="4" borderId="69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69" xfId="0" applyNumberFormat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0" fontId="12" fillId="0" borderId="16" xfId="0" applyFont="1" applyFill="1" applyBorder="1" applyAlignment="1">
      <alignment vertical="top" wrapText="1"/>
    </xf>
    <xf numFmtId="0" fontId="8" fillId="0" borderId="0" xfId="2"/>
    <xf numFmtId="0" fontId="8" fillId="0" borderId="0" xfId="2" applyBorder="1"/>
    <xf numFmtId="0" fontId="9" fillId="0" borderId="0" xfId="2" applyFont="1" applyBorder="1" applyAlignment="1">
      <alignment textRotation="44"/>
    </xf>
    <xf numFmtId="0" fontId="9" fillId="0" borderId="0" xfId="2" applyFont="1" applyBorder="1"/>
    <xf numFmtId="165" fontId="8" fillId="0" borderId="0" xfId="2" applyNumberFormat="1" applyBorder="1" applyAlignment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/>
    <xf numFmtId="165" fontId="8" fillId="0" borderId="0" xfId="2" applyNumberFormat="1" applyBorder="1"/>
    <xf numFmtId="164" fontId="8" fillId="0" borderId="0" xfId="2" applyNumberFormat="1" applyBorder="1"/>
    <xf numFmtId="165" fontId="8" fillId="0" borderId="0" xfId="2" applyNumberFormat="1" applyFill="1" applyBorder="1"/>
    <xf numFmtId="0" fontId="8" fillId="0" borderId="71" xfId="0" applyNumberFormat="1" applyFont="1" applyBorder="1" applyAlignment="1">
      <alignment horizontal="center"/>
    </xf>
    <xf numFmtId="0" fontId="14" fillId="0" borderId="72" xfId="0" applyFont="1" applyBorder="1" applyAlignment="1">
      <alignment horizontal="left"/>
    </xf>
    <xf numFmtId="0" fontId="34" fillId="0" borderId="26" xfId="0" applyNumberFormat="1" applyFont="1" applyBorder="1" applyAlignment="1">
      <alignment horizontal="center" vertical="center"/>
    </xf>
    <xf numFmtId="44" fontId="22" fillId="0" borderId="16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0" xfId="0" applyFont="1" applyBorder="1"/>
    <xf numFmtId="0" fontId="16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/>
    <xf numFmtId="0" fontId="1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3" borderId="25" xfId="0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/>
    </xf>
    <xf numFmtId="44" fontId="9" fillId="0" borderId="19" xfId="0" applyNumberFormat="1" applyFont="1" applyBorder="1" applyAlignment="1">
      <alignment horizontal="center"/>
    </xf>
    <xf numFmtId="0" fontId="17" fillId="0" borderId="20" xfId="0" applyFont="1" applyFill="1" applyBorder="1"/>
    <xf numFmtId="0" fontId="17" fillId="0" borderId="20" xfId="0" applyFont="1" applyFill="1" applyBorder="1" applyAlignment="1">
      <alignment horizontal="center"/>
    </xf>
    <xf numFmtId="0" fontId="12" fillId="0" borderId="20" xfId="0" applyFont="1" applyFill="1" applyBorder="1"/>
    <xf numFmtId="44" fontId="12" fillId="0" borderId="16" xfId="0" applyNumberFormat="1" applyFont="1" applyFill="1" applyBorder="1"/>
    <xf numFmtId="44" fontId="17" fillId="0" borderId="16" xfId="0" applyNumberFormat="1" applyFont="1" applyBorder="1" applyAlignment="1">
      <alignment horizontal="center"/>
    </xf>
    <xf numFmtId="0" fontId="17" fillId="0" borderId="0" xfId="0" applyFont="1" applyFill="1" applyBorder="1"/>
    <xf numFmtId="44" fontId="11" fillId="0" borderId="1" xfId="0" applyNumberFormat="1" applyFont="1" applyBorder="1"/>
    <xf numFmtId="0" fontId="9" fillId="0" borderId="20" xfId="0" applyFont="1" applyBorder="1" applyAlignment="1"/>
    <xf numFmtId="0" fontId="3" fillId="0" borderId="0" xfId="0" applyFont="1" applyBorder="1" applyAlignment="1">
      <alignment horizontal="left"/>
    </xf>
    <xf numFmtId="44" fontId="9" fillId="0" borderId="16" xfId="1" applyFont="1" applyBorder="1"/>
    <xf numFmtId="44" fontId="9" fillId="0" borderId="21" xfId="0" applyNumberFormat="1" applyFont="1" applyBorder="1" applyAlignment="1">
      <alignment horizontal="center"/>
    </xf>
    <xf numFmtId="44" fontId="17" fillId="3" borderId="25" xfId="1" applyFont="1" applyFill="1" applyBorder="1"/>
    <xf numFmtId="0" fontId="12" fillId="0" borderId="77" xfId="0" applyFont="1" applyBorder="1"/>
    <xf numFmtId="44" fontId="35" fillId="0" borderId="16" xfId="0" applyNumberFormat="1" applyFont="1" applyBorder="1" applyAlignment="1">
      <alignment horizontal="center"/>
    </xf>
    <xf numFmtId="0" fontId="17" fillId="3" borderId="25" xfId="1" applyNumberFormat="1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27" fillId="0" borderId="20" xfId="0" applyFont="1" applyBorder="1" applyAlignment="1">
      <alignment horizontal="left"/>
    </xf>
    <xf numFmtId="0" fontId="15" fillId="3" borderId="28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2" fillId="3" borderId="25" xfId="1" applyNumberFormat="1" applyFont="1" applyFill="1" applyBorder="1" applyAlignment="1">
      <alignment horizontal="center"/>
    </xf>
    <xf numFmtId="0" fontId="12" fillId="0" borderId="23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7" fillId="3" borderId="25" xfId="0" applyFont="1" applyFill="1" applyBorder="1" applyAlignment="1">
      <alignment horizontal="center"/>
    </xf>
    <xf numFmtId="44" fontId="17" fillId="0" borderId="16" xfId="0" applyNumberFormat="1" applyFont="1" applyFill="1" applyBorder="1" applyAlignment="1">
      <alignment horizontal="center"/>
    </xf>
    <xf numFmtId="0" fontId="17" fillId="3" borderId="25" xfId="0" applyFont="1" applyFill="1" applyBorder="1" applyAlignment="1">
      <alignment horizontal="left"/>
    </xf>
    <xf numFmtId="44" fontId="26" fillId="0" borderId="16" xfId="1" applyFont="1" applyBorder="1" applyAlignment="1"/>
    <xf numFmtId="0" fontId="27" fillId="0" borderId="0" xfId="0" applyFont="1" applyBorder="1"/>
    <xf numFmtId="0" fontId="12" fillId="0" borderId="75" xfId="0" applyFont="1" applyBorder="1" applyAlignment="1">
      <alignment horizontal="center"/>
    </xf>
    <xf numFmtId="44" fontId="26" fillId="0" borderId="16" xfId="1" applyFont="1" applyBorder="1"/>
    <xf numFmtId="44" fontId="12" fillId="0" borderId="21" xfId="1" applyFont="1" applyFill="1" applyBorder="1" applyAlignment="1">
      <alignment horizontal="left"/>
    </xf>
    <xf numFmtId="0" fontId="17" fillId="3" borderId="2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4" fontId="9" fillId="0" borderId="16" xfId="1" applyFont="1" applyFill="1" applyBorder="1"/>
    <xf numFmtId="44" fontId="9" fillId="0" borderId="16" xfId="0" applyNumberFormat="1" applyFont="1" applyFill="1" applyBorder="1" applyAlignment="1">
      <alignment horizontal="center"/>
    </xf>
    <xf numFmtId="0" fontId="9" fillId="0" borderId="16" xfId="0" applyFont="1" applyBorder="1" applyAlignment="1">
      <alignment wrapText="1"/>
    </xf>
    <xf numFmtId="0" fontId="35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44" fontId="9" fillId="0" borderId="16" xfId="1" applyNumberFormat="1" applyFont="1" applyBorder="1"/>
    <xf numFmtId="0" fontId="12" fillId="0" borderId="16" xfId="0" applyFont="1" applyFill="1" applyBorder="1" applyAlignment="1"/>
    <xf numFmtId="0" fontId="12" fillId="2" borderId="16" xfId="0" applyFont="1" applyFill="1" applyBorder="1" applyAlignment="1">
      <alignment horizontal="left"/>
    </xf>
    <xf numFmtId="0" fontId="38" fillId="0" borderId="0" xfId="0" applyFont="1" applyBorder="1"/>
    <xf numFmtId="0" fontId="12" fillId="0" borderId="0" xfId="0" applyFont="1" applyFill="1" applyBorder="1" applyAlignment="1">
      <alignment horizontal="left"/>
    </xf>
    <xf numFmtId="0" fontId="22" fillId="0" borderId="0" xfId="0" applyFont="1" applyBorder="1"/>
    <xf numFmtId="0" fontId="36" fillId="0" borderId="16" xfId="0" applyFont="1" applyBorder="1" applyAlignment="1">
      <alignment horizontal="center"/>
    </xf>
    <xf numFmtId="44" fontId="17" fillId="0" borderId="16" xfId="1" applyFont="1" applyBorder="1"/>
    <xf numFmtId="0" fontId="39" fillId="0" borderId="0" xfId="0" applyFont="1" applyBorder="1" applyAlignment="1">
      <alignment horizontal="left"/>
    </xf>
    <xf numFmtId="44" fontId="12" fillId="0" borderId="19" xfId="1" applyNumberFormat="1" applyFont="1" applyBorder="1" applyAlignment="1">
      <alignment horizontal="left"/>
    </xf>
    <xf numFmtId="44" fontId="12" fillId="0" borderId="22" xfId="1" applyFont="1" applyBorder="1"/>
    <xf numFmtId="44" fontId="12" fillId="0" borderId="77" xfId="1" applyNumberFormat="1" applyFont="1" applyBorder="1"/>
    <xf numFmtId="44" fontId="9" fillId="0" borderId="77" xfId="0" applyNumberFormat="1" applyFont="1" applyBorder="1"/>
    <xf numFmtId="0" fontId="22" fillId="0" borderId="20" xfId="0" applyFont="1" applyFill="1" applyBorder="1" applyAlignment="1">
      <alignment horizontal="left"/>
    </xf>
    <xf numFmtId="44" fontId="22" fillId="0" borderId="16" xfId="0" applyNumberFormat="1" applyFont="1" applyBorder="1"/>
    <xf numFmtId="44" fontId="26" fillId="0" borderId="16" xfId="0" applyNumberFormat="1" applyFont="1" applyBorder="1" applyAlignment="1">
      <alignment horizontal="center"/>
    </xf>
    <xf numFmtId="44" fontId="12" fillId="0" borderId="21" xfId="1" applyNumberFormat="1" applyFont="1" applyBorder="1" applyAlignment="1">
      <alignment horizontal="left"/>
    </xf>
    <xf numFmtId="0" fontId="14" fillId="0" borderId="0" xfId="0" applyFont="1" applyBorder="1"/>
    <xf numFmtId="0" fontId="9" fillId="0" borderId="19" xfId="0" applyFont="1" applyBorder="1" applyAlignment="1">
      <alignment wrapText="1"/>
    </xf>
    <xf numFmtId="0" fontId="9" fillId="0" borderId="19" xfId="0" applyFont="1" applyBorder="1"/>
    <xf numFmtId="0" fontId="1" fillId="0" borderId="0" xfId="0" applyFont="1"/>
    <xf numFmtId="0" fontId="12" fillId="0" borderId="19" xfId="0" applyFont="1" applyFill="1" applyBorder="1" applyAlignment="1"/>
    <xf numFmtId="44" fontId="9" fillId="0" borderId="0" xfId="0" applyNumberFormat="1" applyFont="1"/>
    <xf numFmtId="0" fontId="9" fillId="0" borderId="0" xfId="0" applyFont="1" applyAlignment="1">
      <alignment vertical="center"/>
    </xf>
    <xf numFmtId="44" fontId="14" fillId="3" borderId="25" xfId="1" applyFont="1" applyFill="1" applyBorder="1"/>
    <xf numFmtId="44" fontId="9" fillId="2" borderId="16" xfId="0" applyNumberFormat="1" applyFont="1" applyFill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 vertical="center"/>
    </xf>
    <xf numFmtId="0" fontId="9" fillId="0" borderId="46" xfId="0" applyFont="1" applyBorder="1"/>
    <xf numFmtId="0" fontId="14" fillId="0" borderId="25" xfId="0" applyFont="1" applyBorder="1" applyAlignment="1">
      <alignment horizontal="center"/>
    </xf>
    <xf numFmtId="0" fontId="24" fillId="0" borderId="0" xfId="0" applyFont="1" applyBorder="1"/>
    <xf numFmtId="42" fontId="0" fillId="0" borderId="0" xfId="0" applyNumberFormat="1"/>
    <xf numFmtId="0" fontId="23" fillId="0" borderId="82" xfId="0" applyFont="1" applyBorder="1" applyAlignment="1">
      <alignment horizontal="left" vertical="center"/>
    </xf>
    <xf numFmtId="44" fontId="12" fillId="0" borderId="77" xfId="1" applyFont="1" applyBorder="1" applyAlignment="1">
      <alignment horizontal="left"/>
    </xf>
    <xf numFmtId="0" fontId="12" fillId="0" borderId="73" xfId="0" applyFont="1" applyBorder="1"/>
    <xf numFmtId="164" fontId="9" fillId="0" borderId="0" xfId="0" applyNumberFormat="1" applyFont="1" applyBorder="1" applyAlignment="1"/>
    <xf numFmtId="0" fontId="12" fillId="0" borderId="41" xfId="0" applyFont="1" applyBorder="1"/>
    <xf numFmtId="0" fontId="9" fillId="0" borderId="0" xfId="0" applyFont="1" applyAlignment="1">
      <alignment wrapText="1"/>
    </xf>
    <xf numFmtId="0" fontId="18" fillId="3" borderId="2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5" fillId="0" borderId="3" xfId="0" applyFont="1" applyBorder="1"/>
    <xf numFmtId="44" fontId="15" fillId="0" borderId="3" xfId="0" applyNumberFormat="1" applyFont="1" applyBorder="1"/>
    <xf numFmtId="0" fontId="15" fillId="0" borderId="1" xfId="0" applyFont="1" applyBorder="1"/>
    <xf numFmtId="0" fontId="15" fillId="0" borderId="2" xfId="0" applyFont="1" applyBorder="1"/>
    <xf numFmtId="44" fontId="15" fillId="0" borderId="10" xfId="0" applyNumberFormat="1" applyFont="1" applyBorder="1"/>
    <xf numFmtId="166" fontId="12" fillId="0" borderId="54" xfId="0" applyNumberFormat="1" applyFont="1" applyBorder="1" applyAlignment="1">
      <alignment horizontal="center" vertical="center" wrapText="1"/>
    </xf>
    <xf numFmtId="0" fontId="14" fillId="0" borderId="16" xfId="0" applyFont="1" applyFill="1" applyBorder="1"/>
    <xf numFmtId="0" fontId="42" fillId="0" borderId="16" xfId="0" applyFont="1" applyBorder="1" applyAlignment="1">
      <alignment horizontal="center"/>
    </xf>
    <xf numFmtId="0" fontId="35" fillId="0" borderId="20" xfId="0" applyFont="1" applyFill="1" applyBorder="1"/>
    <xf numFmtId="0" fontId="9" fillId="0" borderId="20" xfId="0" applyFont="1" applyFill="1" applyBorder="1"/>
    <xf numFmtId="0" fontId="12" fillId="0" borderId="1" xfId="0" applyFont="1" applyBorder="1" applyAlignment="1"/>
    <xf numFmtId="0" fontId="9" fillId="0" borderId="20" xfId="0" applyFont="1" applyBorder="1" applyAlignment="1">
      <alignment horizontal="left" wrapText="1"/>
    </xf>
    <xf numFmtId="44" fontId="9" fillId="0" borderId="16" xfId="1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4" fontId="9" fillId="0" borderId="19" xfId="1" applyFont="1" applyBorder="1" applyAlignment="1">
      <alignment horizontal="left"/>
    </xf>
    <xf numFmtId="44" fontId="9" fillId="0" borderId="19" xfId="0" applyNumberFormat="1" applyFont="1" applyBorder="1"/>
    <xf numFmtId="44" fontId="9" fillId="0" borderId="21" xfId="1" applyFont="1" applyBorder="1" applyAlignment="1">
      <alignment horizontal="center"/>
    </xf>
    <xf numFmtId="0" fontId="9" fillId="0" borderId="77" xfId="0" applyFont="1" applyBorder="1"/>
    <xf numFmtId="0" fontId="9" fillId="0" borderId="20" xfId="0" applyFont="1" applyBorder="1"/>
    <xf numFmtId="0" fontId="12" fillId="3" borderId="53" xfId="0" applyFont="1" applyFill="1" applyBorder="1"/>
    <xf numFmtId="0" fontId="12" fillId="0" borderId="0" xfId="0" applyFont="1" applyAlignment="1">
      <alignment horizontal="center"/>
    </xf>
    <xf numFmtId="44" fontId="35" fillId="0" borderId="16" xfId="0" applyNumberFormat="1" applyFont="1" applyFill="1" applyBorder="1" applyAlignment="1">
      <alignment horizontal="center"/>
    </xf>
    <xf numFmtId="44" fontId="9" fillId="0" borderId="16" xfId="0" applyNumberFormat="1" applyFont="1" applyBorder="1" applyAlignment="1"/>
    <xf numFmtId="0" fontId="9" fillId="0" borderId="23" xfId="0" applyFont="1" applyBorder="1"/>
    <xf numFmtId="0" fontId="9" fillId="0" borderId="71" xfId="0" applyFont="1" applyBorder="1"/>
    <xf numFmtId="44" fontId="9" fillId="0" borderId="72" xfId="0" applyNumberFormat="1" applyFont="1" applyBorder="1"/>
    <xf numFmtId="44" fontId="9" fillId="0" borderId="16" xfId="1" applyNumberFormat="1" applyFont="1" applyBorder="1" applyAlignment="1"/>
    <xf numFmtId="44" fontId="9" fillId="0" borderId="16" xfId="1" applyNumberFormat="1" applyFont="1" applyFill="1" applyBorder="1" applyAlignment="1"/>
    <xf numFmtId="44" fontId="9" fillId="0" borderId="46" xfId="1" applyNumberFormat="1" applyFont="1" applyBorder="1" applyAlignment="1">
      <alignment horizontal="center"/>
    </xf>
    <xf numFmtId="44" fontId="9" fillId="0" borderId="46" xfId="1" applyNumberFormat="1" applyFont="1" applyBorder="1"/>
    <xf numFmtId="44" fontId="9" fillId="0" borderId="75" xfId="1" applyNumberFormat="1" applyFont="1" applyBorder="1" applyAlignment="1">
      <alignment horizontal="center"/>
    </xf>
    <xf numFmtId="44" fontId="42" fillId="0" borderId="16" xfId="1" applyFont="1" applyBorder="1" applyAlignment="1">
      <alignment horizontal="center"/>
    </xf>
    <xf numFmtId="44" fontId="9" fillId="0" borderId="16" xfId="1" applyNumberFormat="1" applyFont="1" applyFill="1" applyBorder="1"/>
    <xf numFmtId="44" fontId="9" fillId="0" borderId="19" xfId="1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9" fillId="0" borderId="16" xfId="0" applyFont="1" applyFill="1" applyBorder="1"/>
    <xf numFmtId="0" fontId="9" fillId="0" borderId="16" xfId="0" applyFont="1" applyBorder="1" applyAlignment="1">
      <alignment horizontal="left" wrapText="1"/>
    </xf>
    <xf numFmtId="0" fontId="9" fillId="0" borderId="19" xfId="0" applyFont="1" applyBorder="1" applyAlignment="1">
      <alignment horizontal="left"/>
    </xf>
    <xf numFmtId="0" fontId="44" fillId="0" borderId="19" xfId="0" applyFont="1" applyFill="1" applyBorder="1"/>
    <xf numFmtId="0" fontId="11" fillId="0" borderId="16" xfId="0" applyFont="1" applyBorder="1" applyAlignment="1">
      <alignment horizontal="left"/>
    </xf>
    <xf numFmtId="44" fontId="42" fillId="0" borderId="16" xfId="1" applyNumberFormat="1" applyFont="1" applyBorder="1" applyAlignment="1">
      <alignment horizontal="center"/>
    </xf>
    <xf numFmtId="44" fontId="9" fillId="0" borderId="40" xfId="1" applyNumberFormat="1" applyFont="1" applyBorder="1"/>
    <xf numFmtId="44" fontId="9" fillId="0" borderId="21" xfId="1" applyNumberFormat="1" applyFont="1" applyBorder="1" applyAlignment="1">
      <alignment horizontal="center"/>
    </xf>
    <xf numFmtId="0" fontId="9" fillId="0" borderId="75" xfId="0" applyFont="1" applyBorder="1"/>
    <xf numFmtId="44" fontId="11" fillId="0" borderId="16" xfId="0" applyNumberFormat="1" applyFont="1" applyBorder="1"/>
    <xf numFmtId="44" fontId="9" fillId="0" borderId="46" xfId="0" applyNumberFormat="1" applyFont="1" applyBorder="1"/>
    <xf numFmtId="44" fontId="9" fillId="2" borderId="25" xfId="0" applyNumberFormat="1" applyFont="1" applyFill="1" applyBorder="1" applyAlignment="1">
      <alignment horizontal="center" vertical="center"/>
    </xf>
    <xf numFmtId="44" fontId="9" fillId="0" borderId="46" xfId="0" applyNumberFormat="1" applyFont="1" applyBorder="1" applyAlignment="1">
      <alignment horizontal="center" vertical="center"/>
    </xf>
    <xf numFmtId="44" fontId="11" fillId="0" borderId="19" xfId="0" applyNumberFormat="1" applyFont="1" applyFill="1" applyBorder="1"/>
    <xf numFmtId="0" fontId="14" fillId="0" borderId="16" xfId="0" applyFont="1" applyBorder="1" applyAlignment="1">
      <alignment horizontal="center" vertical="center"/>
    </xf>
    <xf numFmtId="0" fontId="14" fillId="0" borderId="16" xfId="1" applyNumberFormat="1" applyFont="1" applyBorder="1" applyAlignment="1">
      <alignment horizontal="center" vertical="center"/>
    </xf>
    <xf numFmtId="44" fontId="9" fillId="0" borderId="46" xfId="0" applyNumberFormat="1" applyFont="1" applyFill="1" applyBorder="1"/>
    <xf numFmtId="44" fontId="9" fillId="0" borderId="21" xfId="1" applyFont="1" applyBorder="1"/>
    <xf numFmtId="44" fontId="9" fillId="0" borderId="16" xfId="1" applyFont="1" applyFill="1" applyBorder="1" applyAlignment="1">
      <alignment horizontal="left"/>
    </xf>
    <xf numFmtId="44" fontId="9" fillId="2" borderId="16" xfId="1" applyFont="1" applyFill="1" applyBorder="1"/>
    <xf numFmtId="44" fontId="9" fillId="0" borderId="19" xfId="1" applyFont="1" applyFill="1" applyBorder="1" applyAlignment="1">
      <alignment horizontal="left"/>
    </xf>
    <xf numFmtId="44" fontId="9" fillId="0" borderId="21" xfId="1" applyFont="1" applyBorder="1" applyAlignment="1">
      <alignment horizontal="left"/>
    </xf>
    <xf numFmtId="0" fontId="9" fillId="0" borderId="0" xfId="0" applyFont="1" applyBorder="1" applyAlignment="1">
      <alignment vertical="justify" wrapText="1"/>
    </xf>
    <xf numFmtId="44" fontId="9" fillId="0" borderId="75" xfId="0" applyNumberFormat="1" applyFont="1" applyBorder="1" applyAlignment="1">
      <alignment horizontal="center"/>
    </xf>
    <xf numFmtId="0" fontId="9" fillId="0" borderId="19" xfId="0" applyFont="1" applyBorder="1" applyAlignment="1"/>
    <xf numFmtId="44" fontId="36" fillId="0" borderId="16" xfId="1" applyFont="1" applyBorder="1"/>
    <xf numFmtId="0" fontId="9" fillId="0" borderId="7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6" fontId="9" fillId="0" borderId="54" xfId="0" applyNumberFormat="1" applyFont="1" applyBorder="1" applyAlignment="1">
      <alignment horizontal="center" vertical="center" wrapText="1"/>
    </xf>
    <xf numFmtId="44" fontId="11" fillId="0" borderId="40" xfId="0" applyNumberFormat="1" applyFont="1" applyBorder="1"/>
    <xf numFmtId="44" fontId="12" fillId="0" borderId="77" xfId="0" applyNumberFormat="1" applyFont="1" applyBorder="1"/>
    <xf numFmtId="0" fontId="22" fillId="0" borderId="0" xfId="0" applyFont="1"/>
    <xf numFmtId="0" fontId="22" fillId="0" borderId="1" xfId="0" applyFont="1" applyBorder="1" applyAlignment="1"/>
    <xf numFmtId="44" fontId="30" fillId="0" borderId="2" xfId="1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0" fontId="22" fillId="0" borderId="1" xfId="0" applyFont="1" applyBorder="1"/>
    <xf numFmtId="0" fontId="22" fillId="0" borderId="20" xfId="0" applyFont="1" applyBorder="1" applyAlignment="1">
      <alignment horizontal="left"/>
    </xf>
    <xf numFmtId="0" fontId="22" fillId="0" borderId="19" xfId="0" applyFont="1" applyBorder="1"/>
    <xf numFmtId="44" fontId="35" fillId="0" borderId="19" xfId="0" applyNumberFormat="1" applyFont="1" applyBorder="1" applyAlignment="1">
      <alignment horizontal="center"/>
    </xf>
    <xf numFmtId="44" fontId="9" fillId="0" borderId="25" xfId="0" applyNumberFormat="1" applyFont="1" applyFill="1" applyBorder="1"/>
    <xf numFmtId="0" fontId="12" fillId="0" borderId="70" xfId="0" applyFont="1" applyBorder="1"/>
    <xf numFmtId="44" fontId="22" fillId="0" borderId="19" xfId="0" applyNumberFormat="1" applyFont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44" fontId="12" fillId="0" borderId="19" xfId="0" applyNumberFormat="1" applyFont="1" applyFill="1" applyBorder="1" applyAlignment="1">
      <alignment horizontal="center"/>
    </xf>
    <xf numFmtId="44" fontId="12" fillId="0" borderId="70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87" xfId="0" applyFont="1" applyBorder="1"/>
    <xf numFmtId="44" fontId="12" fillId="0" borderId="87" xfId="0" applyNumberFormat="1" applyFont="1" applyFill="1" applyBorder="1" applyAlignment="1">
      <alignment horizontal="center"/>
    </xf>
    <xf numFmtId="44" fontId="12" fillId="0" borderId="87" xfId="0" applyNumberFormat="1" applyFont="1" applyFill="1" applyBorder="1"/>
    <xf numFmtId="0" fontId="17" fillId="0" borderId="20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44" fontId="9" fillId="0" borderId="79" xfId="0" applyNumberFormat="1" applyFont="1" applyBorder="1"/>
    <xf numFmtId="0" fontId="18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4" fontId="15" fillId="0" borderId="3" xfId="1" applyNumberFormat="1" applyFont="1" applyBorder="1"/>
    <xf numFmtId="0" fontId="18" fillId="0" borderId="1" xfId="0" applyFont="1" applyBorder="1"/>
    <xf numFmtId="44" fontId="15" fillId="0" borderId="3" xfId="1" applyFont="1" applyBorder="1"/>
    <xf numFmtId="0" fontId="15" fillId="0" borderId="17" xfId="0" applyFont="1" applyBorder="1"/>
    <xf numFmtId="0" fontId="15" fillId="0" borderId="8" xfId="0" applyFont="1" applyBorder="1"/>
    <xf numFmtId="44" fontId="15" fillId="0" borderId="8" xfId="1" applyNumberFormat="1" applyFont="1" applyBorder="1"/>
    <xf numFmtId="0" fontId="18" fillId="0" borderId="18" xfId="0" applyFont="1" applyBorder="1"/>
    <xf numFmtId="0" fontId="15" fillId="0" borderId="13" xfId="0" applyFont="1" applyBorder="1"/>
    <xf numFmtId="44" fontId="15" fillId="0" borderId="13" xfId="0" applyNumberFormat="1" applyFont="1" applyBorder="1"/>
    <xf numFmtId="0" fontId="18" fillId="0" borderId="9" xfId="0" applyFont="1" applyBorder="1" applyAlignment="1">
      <alignment horizontal="right"/>
    </xf>
    <xf numFmtId="0" fontId="15" fillId="0" borderId="10" xfId="0" applyFont="1" applyBorder="1"/>
    <xf numFmtId="44" fontId="18" fillId="0" borderId="50" xfId="0" applyNumberFormat="1" applyFont="1" applyBorder="1"/>
    <xf numFmtId="44" fontId="15" fillId="0" borderId="2" xfId="1" applyNumberFormat="1" applyFont="1" applyBorder="1"/>
    <xf numFmtId="44" fontId="18" fillId="0" borderId="11" xfId="0" applyNumberFormat="1" applyFont="1" applyBorder="1"/>
    <xf numFmtId="0" fontId="15" fillId="0" borderId="11" xfId="0" applyFont="1" applyBorder="1"/>
    <xf numFmtId="44" fontId="18" fillId="0" borderId="2" xfId="0" applyNumberFormat="1" applyFont="1" applyBorder="1"/>
    <xf numFmtId="44" fontId="18" fillId="0" borderId="2" xfId="0" applyNumberFormat="1" applyFont="1" applyBorder="1" applyAlignment="1">
      <alignment horizontal="center"/>
    </xf>
    <xf numFmtId="44" fontId="18" fillId="0" borderId="2" xfId="1" applyNumberFormat="1" applyFont="1" applyBorder="1"/>
    <xf numFmtId="44" fontId="18" fillId="0" borderId="2" xfId="1" applyFont="1" applyBorder="1"/>
    <xf numFmtId="44" fontId="18" fillId="0" borderId="78" xfId="1" applyNumberFormat="1" applyFont="1" applyBorder="1"/>
    <xf numFmtId="8" fontId="9" fillId="0" borderId="0" xfId="0" applyNumberFormat="1" applyFont="1"/>
    <xf numFmtId="0" fontId="35" fillId="0" borderId="19" xfId="0" applyFont="1" applyBorder="1" applyAlignment="1">
      <alignment horizontal="left"/>
    </xf>
    <xf numFmtId="0" fontId="14" fillId="0" borderId="14" xfId="0" applyNumberFormat="1" applyFont="1" applyBorder="1" applyAlignment="1">
      <alignment horizontal="center" vertical="center"/>
    </xf>
    <xf numFmtId="43" fontId="0" fillId="0" borderId="0" xfId="0" applyNumberFormat="1"/>
    <xf numFmtId="0" fontId="14" fillId="0" borderId="27" xfId="0" applyNumberFormat="1" applyFont="1" applyBorder="1" applyAlignment="1">
      <alignment vertical="top"/>
    </xf>
    <xf numFmtId="0" fontId="14" fillId="0" borderId="81" xfId="0" applyFont="1" applyBorder="1" applyAlignment="1">
      <alignment vertical="top"/>
    </xf>
    <xf numFmtId="0" fontId="0" fillId="0" borderId="0" xfId="0" applyAlignment="1">
      <alignment vertical="top"/>
    </xf>
    <xf numFmtId="0" fontId="10" fillId="0" borderId="26" xfId="0" applyFont="1" applyBorder="1" applyAlignment="1">
      <alignment horizontal="left" vertical="center"/>
    </xf>
    <xf numFmtId="0" fontId="9" fillId="0" borderId="8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41" xfId="0" applyFont="1" applyBorder="1" applyAlignment="1">
      <alignment horizontal="right"/>
    </xf>
    <xf numFmtId="0" fontId="14" fillId="0" borderId="28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0" borderId="17" xfId="0" applyFont="1" applyBorder="1" applyAlignment="1">
      <alignment horizontal="left"/>
    </xf>
    <xf numFmtId="44" fontId="9" fillId="0" borderId="30" xfId="0" applyNumberFormat="1" applyFont="1" applyBorder="1" applyAlignment="1">
      <alignment horizontal="center"/>
    </xf>
    <xf numFmtId="44" fontId="9" fillId="0" borderId="30" xfId="0" applyNumberFormat="1" applyFont="1" applyBorder="1"/>
    <xf numFmtId="0" fontId="9" fillId="0" borderId="26" xfId="0" applyFont="1" applyBorder="1"/>
    <xf numFmtId="0" fontId="0" fillId="0" borderId="0" xfId="0" applyAlignment="1">
      <alignment horizontal="center"/>
    </xf>
    <xf numFmtId="42" fontId="9" fillId="2" borderId="15" xfId="0" applyNumberFormat="1" applyFont="1" applyFill="1" applyBorder="1"/>
    <xf numFmtId="42" fontId="9" fillId="0" borderId="0" xfId="0" applyNumberFormat="1" applyFont="1"/>
    <xf numFmtId="44" fontId="9" fillId="2" borderId="54" xfId="0" applyNumberFormat="1" applyFont="1" applyFill="1" applyBorder="1" applyAlignment="1">
      <alignment horizontal="center" vertical="center"/>
    </xf>
    <xf numFmtId="44" fontId="9" fillId="0" borderId="25" xfId="0" applyNumberFormat="1" applyFont="1" applyBorder="1" applyAlignment="1">
      <alignment horizontal="center" vertical="center"/>
    </xf>
    <xf numFmtId="0" fontId="45" fillId="0" borderId="0" xfId="0" applyFont="1"/>
    <xf numFmtId="0" fontId="46" fillId="0" borderId="0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2" borderId="28" xfId="0" applyFont="1" applyFill="1" applyBorder="1"/>
    <xf numFmtId="42" fontId="45" fillId="0" borderId="29" xfId="0" applyNumberFormat="1" applyFont="1" applyFill="1" applyBorder="1"/>
    <xf numFmtId="42" fontId="45" fillId="0" borderId="3" xfId="0" applyNumberFormat="1" applyFont="1" applyFill="1" applyBorder="1"/>
    <xf numFmtId="0" fontId="45" fillId="2" borderId="1" xfId="0" applyFont="1" applyFill="1" applyBorder="1"/>
    <xf numFmtId="0" fontId="45" fillId="2" borderId="4" xfId="0" applyFont="1" applyFill="1" applyBorder="1"/>
    <xf numFmtId="42" fontId="45" fillId="0" borderId="24" xfId="0" applyNumberFormat="1" applyFont="1" applyFill="1" applyBorder="1"/>
    <xf numFmtId="0" fontId="45" fillId="2" borderId="28" xfId="0" applyFont="1" applyFill="1" applyBorder="1" applyAlignment="1">
      <alignment wrapText="1"/>
    </xf>
    <xf numFmtId="42" fontId="45" fillId="3" borderId="29" xfId="0" applyNumberFormat="1" applyFont="1" applyFill="1" applyBorder="1"/>
    <xf numFmtId="0" fontId="45" fillId="0" borderId="1" xfId="0" applyFont="1" applyBorder="1"/>
    <xf numFmtId="42" fontId="45" fillId="3" borderId="3" xfId="0" applyNumberFormat="1" applyFont="1" applyFill="1" applyBorder="1"/>
    <xf numFmtId="0" fontId="45" fillId="0" borderId="42" xfId="0" applyFont="1" applyBorder="1"/>
    <xf numFmtId="0" fontId="45" fillId="2" borderId="17" xfId="0" applyFont="1" applyFill="1" applyBorder="1"/>
    <xf numFmtId="42" fontId="45" fillId="0" borderId="8" xfId="0" applyNumberFormat="1" applyFont="1" applyFill="1" applyBorder="1"/>
    <xf numFmtId="0" fontId="47" fillId="0" borderId="16" xfId="0" applyFont="1" applyBorder="1"/>
    <xf numFmtId="0" fontId="9" fillId="0" borderId="43" xfId="0" applyFont="1" applyBorder="1" applyAlignment="1">
      <alignment vertical="center"/>
    </xf>
    <xf numFmtId="9" fontId="9" fillId="0" borderId="0" xfId="0" applyNumberFormat="1" applyFont="1"/>
    <xf numFmtId="0" fontId="48" fillId="0" borderId="0" xfId="0" applyFont="1"/>
    <xf numFmtId="0" fontId="40" fillId="0" borderId="0" xfId="0" applyFont="1" applyAlignment="1">
      <alignment horizontal="right"/>
    </xf>
    <xf numFmtId="0" fontId="35" fillId="0" borderId="19" xfId="0" applyFont="1" applyBorder="1"/>
    <xf numFmtId="8" fontId="9" fillId="0" borderId="21" xfId="0" applyNumberFormat="1" applyFont="1" applyBorder="1"/>
    <xf numFmtId="0" fontId="12" fillId="0" borderId="16" xfId="0" applyFont="1" applyFill="1" applyBorder="1" applyAlignment="1">
      <alignment horizontal="left" vertical="top"/>
    </xf>
    <xf numFmtId="44" fontId="12" fillId="0" borderId="16" xfId="1" applyNumberFormat="1" applyFont="1" applyBorder="1" applyAlignment="1"/>
    <xf numFmtId="0" fontId="45" fillId="0" borderId="28" xfId="0" applyFont="1" applyFill="1" applyBorder="1"/>
    <xf numFmtId="0" fontId="45" fillId="0" borderId="1" xfId="0" applyFont="1" applyFill="1" applyBorder="1"/>
    <xf numFmtId="0" fontId="45" fillId="0" borderId="4" xfId="0" applyFont="1" applyFill="1" applyBorder="1"/>
    <xf numFmtId="0" fontId="45" fillId="0" borderId="5" xfId="0" applyFont="1" applyBorder="1"/>
    <xf numFmtId="42" fontId="45" fillId="0" borderId="6" xfId="0" applyNumberFormat="1" applyFont="1" applyFill="1" applyBorder="1"/>
    <xf numFmtId="42" fontId="45" fillId="3" borderId="6" xfId="0" applyNumberFormat="1" applyFont="1" applyFill="1" applyBorder="1"/>
    <xf numFmtId="42" fontId="45" fillId="2" borderId="29" xfId="0" applyNumberFormat="1" applyFont="1" applyFill="1" applyBorder="1"/>
    <xf numFmtId="42" fontId="45" fillId="0" borderId="72" xfId="0" applyNumberFormat="1" applyFont="1" applyFill="1" applyBorder="1"/>
    <xf numFmtId="42" fontId="45" fillId="2" borderId="72" xfId="0" applyNumberFormat="1" applyFont="1" applyFill="1" applyBorder="1"/>
    <xf numFmtId="42" fontId="9" fillId="0" borderId="46" xfId="0" applyNumberFormat="1" applyFont="1" applyBorder="1"/>
    <xf numFmtId="44" fontId="30" fillId="0" borderId="16" xfId="1" applyFont="1" applyBorder="1" applyAlignment="1">
      <alignment horizontal="center" wrapText="1"/>
    </xf>
    <xf numFmtId="44" fontId="11" fillId="0" borderId="16" xfId="0" applyNumberFormat="1" applyFont="1" applyBorder="1" applyAlignment="1">
      <alignment horizontal="center"/>
    </xf>
    <xf numFmtId="44" fontId="11" fillId="0" borderId="21" xfId="1" applyFont="1" applyBorder="1" applyAlignment="1">
      <alignment horizontal="center"/>
    </xf>
    <xf numFmtId="44" fontId="30" fillId="0" borderId="1" xfId="1" applyFont="1" applyBorder="1" applyAlignment="1">
      <alignment horizontal="center"/>
    </xf>
    <xf numFmtId="0" fontId="9" fillId="0" borderId="52" xfId="0" applyFont="1" applyBorder="1" applyAlignment="1"/>
    <xf numFmtId="0" fontId="22" fillId="0" borderId="40" xfId="0" applyFont="1" applyBorder="1" applyAlignment="1">
      <alignment horizontal="left"/>
    </xf>
    <xf numFmtId="0" fontId="9" fillId="0" borderId="25" xfId="0" applyFont="1" applyBorder="1"/>
    <xf numFmtId="0" fontId="9" fillId="0" borderId="25" xfId="0" applyFont="1" applyBorder="1" applyAlignment="1"/>
    <xf numFmtId="42" fontId="45" fillId="0" borderId="13" xfId="0" applyNumberFormat="1" applyFont="1" applyFill="1" applyBorder="1"/>
    <xf numFmtId="0" fontId="45" fillId="0" borderId="71" xfId="0" applyFont="1" applyFill="1" applyBorder="1"/>
    <xf numFmtId="42" fontId="45" fillId="3" borderId="24" xfId="0" applyNumberFormat="1" applyFont="1" applyFill="1" applyBorder="1"/>
    <xf numFmtId="42" fontId="9" fillId="0" borderId="12" xfId="0" applyNumberFormat="1" applyFont="1" applyFill="1" applyBorder="1"/>
    <xf numFmtId="42" fontId="9" fillId="0" borderId="79" xfId="0" applyNumberFormat="1" applyFont="1" applyFill="1" applyBorder="1"/>
    <xf numFmtId="42" fontId="9" fillId="0" borderId="33" xfId="0" applyNumberFormat="1" applyFont="1" applyFill="1" applyBorder="1"/>
    <xf numFmtId="42" fontId="9" fillId="0" borderId="2" xfId="0" applyNumberFormat="1" applyFont="1" applyFill="1" applyBorder="1"/>
    <xf numFmtId="41" fontId="9" fillId="0" borderId="67" xfId="0" applyNumberFormat="1" applyFont="1" applyFill="1" applyBorder="1"/>
    <xf numFmtId="43" fontId="9" fillId="0" borderId="67" xfId="0" applyNumberFormat="1" applyFont="1" applyFill="1" applyBorder="1"/>
    <xf numFmtId="0" fontId="45" fillId="2" borderId="72" xfId="0" applyFont="1" applyFill="1" applyBorder="1"/>
    <xf numFmtId="0" fontId="20" fillId="2" borderId="29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20" fillId="0" borderId="0" xfId="0" applyFont="1" applyBorder="1"/>
    <xf numFmtId="44" fontId="12" fillId="0" borderId="26" xfId="0" applyNumberFormat="1" applyFont="1" applyBorder="1"/>
    <xf numFmtId="44" fontId="11" fillId="0" borderId="80" xfId="0" applyNumberFormat="1" applyFont="1" applyBorder="1"/>
    <xf numFmtId="44" fontId="12" fillId="0" borderId="80" xfId="1" applyNumberFormat="1" applyFont="1" applyBorder="1" applyAlignment="1">
      <alignment horizontal="center"/>
    </xf>
    <xf numFmtId="0" fontId="9" fillId="0" borderId="28" xfId="0" applyFont="1" applyFill="1" applyBorder="1"/>
    <xf numFmtId="0" fontId="9" fillId="0" borderId="29" xfId="0" applyFont="1" applyFill="1" applyBorder="1"/>
    <xf numFmtId="0" fontId="9" fillId="0" borderId="1" xfId="0" applyFont="1" applyFill="1" applyBorder="1"/>
    <xf numFmtId="0" fontId="50" fillId="0" borderId="3" xfId="0" applyFont="1" applyFill="1" applyBorder="1"/>
    <xf numFmtId="8" fontId="9" fillId="0" borderId="3" xfId="0" applyNumberFormat="1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17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9" fillId="0" borderId="56" xfId="0" applyFont="1" applyFill="1" applyBorder="1"/>
    <xf numFmtId="0" fontId="9" fillId="0" borderId="34" xfId="0" applyFont="1" applyFill="1" applyBorder="1"/>
    <xf numFmtId="0" fontId="9" fillId="0" borderId="82" xfId="0" applyFont="1" applyFill="1" applyBorder="1"/>
    <xf numFmtId="0" fontId="12" fillId="0" borderId="0" xfId="0" applyFont="1" applyFill="1"/>
    <xf numFmtId="0" fontId="9" fillId="0" borderId="74" xfId="0" applyFont="1" applyFill="1" applyBorder="1" applyAlignment="1">
      <alignment horizontal="center"/>
    </xf>
    <xf numFmtId="0" fontId="9" fillId="0" borderId="17" xfId="0" applyFont="1" applyBorder="1"/>
    <xf numFmtId="0" fontId="9" fillId="0" borderId="8" xfId="0" applyFont="1" applyBorder="1"/>
    <xf numFmtId="0" fontId="9" fillId="0" borderId="60" xfId="0" applyFont="1" applyBorder="1"/>
    <xf numFmtId="0" fontId="9" fillId="0" borderId="35" xfId="0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9" fillId="0" borderId="64" xfId="0" applyFont="1" applyBorder="1"/>
    <xf numFmtId="0" fontId="9" fillId="0" borderId="36" xfId="0" applyFont="1" applyBorder="1"/>
    <xf numFmtId="0" fontId="9" fillId="0" borderId="66" xfId="0" applyFont="1" applyBorder="1"/>
    <xf numFmtId="0" fontId="9" fillId="0" borderId="38" xfId="0" applyFont="1" applyBorder="1"/>
    <xf numFmtId="4" fontId="9" fillId="0" borderId="0" xfId="0" applyNumberFormat="1" applyFont="1"/>
    <xf numFmtId="164" fontId="9" fillId="0" borderId="0" xfId="0" applyNumberFormat="1" applyFont="1"/>
    <xf numFmtId="0" fontId="50" fillId="0" borderId="92" xfId="0" applyFont="1" applyFill="1" applyBorder="1"/>
    <xf numFmtId="0" fontId="11" fillId="0" borderId="0" xfId="0" applyFont="1"/>
    <xf numFmtId="44" fontId="12" fillId="0" borderId="40" xfId="0" applyNumberFormat="1" applyFont="1" applyBorder="1" applyAlignment="1">
      <alignment horizontal="center"/>
    </xf>
    <xf numFmtId="0" fontId="17" fillId="0" borderId="16" xfId="1" applyNumberFormat="1" applyFont="1" applyBorder="1" applyAlignment="1">
      <alignment horizontal="center" vertical="center"/>
    </xf>
    <xf numFmtId="0" fontId="22" fillId="0" borderId="16" xfId="0" applyFont="1" applyBorder="1"/>
    <xf numFmtId="0" fontId="9" fillId="0" borderId="54" xfId="0" applyFont="1" applyBorder="1" applyAlignment="1"/>
    <xf numFmtId="0" fontId="9" fillId="0" borderId="25" xfId="0" applyFont="1" applyFill="1" applyBorder="1"/>
    <xf numFmtId="0" fontId="9" fillId="0" borderId="46" xfId="0" applyFont="1" applyFill="1" applyBorder="1"/>
    <xf numFmtId="44" fontId="11" fillId="0" borderId="52" xfId="0" applyNumberFormat="1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53" fillId="0" borderId="0" xfId="0" applyFont="1"/>
    <xf numFmtId="44" fontId="54" fillId="0" borderId="2" xfId="0" applyNumberFormat="1" applyFont="1" applyFill="1" applyBorder="1"/>
    <xf numFmtId="0" fontId="9" fillId="0" borderId="112" xfId="0" applyFont="1" applyBorder="1"/>
    <xf numFmtId="0" fontId="9" fillId="0" borderId="42" xfId="0" applyFont="1" applyBorder="1" applyAlignment="1">
      <alignment horizontal="center"/>
    </xf>
    <xf numFmtId="0" fontId="9" fillId="0" borderId="52" xfId="0" applyFont="1" applyBorder="1"/>
    <xf numFmtId="0" fontId="9" fillId="0" borderId="7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0" fillId="0" borderId="112" xfId="0" applyFont="1" applyBorder="1" applyAlignment="1">
      <alignment horizontal="right"/>
    </xf>
    <xf numFmtId="0" fontId="20" fillId="0" borderId="42" xfId="0" applyFont="1" applyBorder="1" applyAlignment="1">
      <alignment horizontal="center"/>
    </xf>
    <xf numFmtId="0" fontId="20" fillId="0" borderId="52" xfId="0" applyFont="1" applyBorder="1" applyAlignment="1">
      <alignment horizontal="right"/>
    </xf>
    <xf numFmtId="0" fontId="20" fillId="0" borderId="74" xfId="0" applyFont="1" applyBorder="1" applyAlignment="1">
      <alignment horizontal="center"/>
    </xf>
    <xf numFmtId="0" fontId="20" fillId="0" borderId="43" xfId="0" applyFont="1" applyBorder="1" applyAlignment="1">
      <alignment horizontal="right"/>
    </xf>
    <xf numFmtId="0" fontId="20" fillId="0" borderId="45" xfId="0" applyFont="1" applyBorder="1" applyAlignment="1">
      <alignment horizontal="center"/>
    </xf>
    <xf numFmtId="0" fontId="9" fillId="0" borderId="42" xfId="0" applyFont="1" applyBorder="1"/>
    <xf numFmtId="0" fontId="9" fillId="0" borderId="74" xfId="0" applyFont="1" applyBorder="1"/>
    <xf numFmtId="0" fontId="9" fillId="0" borderId="43" xfId="0" applyFont="1" applyBorder="1"/>
    <xf numFmtId="0" fontId="9" fillId="0" borderId="45" xfId="0" applyFont="1" applyBorder="1"/>
    <xf numFmtId="0" fontId="9" fillId="0" borderId="52" xfId="0" applyFont="1" applyBorder="1" applyAlignment="1">
      <alignment horizontal="center"/>
    </xf>
    <xf numFmtId="0" fontId="12" fillId="0" borderId="16" xfId="0" applyFont="1" applyFill="1" applyBorder="1" applyAlignment="1">
      <alignment horizontal="center" vertical="center"/>
    </xf>
    <xf numFmtId="44" fontId="22" fillId="0" borderId="16" xfId="0" applyNumberFormat="1" applyFont="1" applyFill="1" applyBorder="1"/>
    <xf numFmtId="43" fontId="9" fillId="0" borderId="65" xfId="0" applyNumberFormat="1" applyFont="1" applyBorder="1"/>
    <xf numFmtId="0" fontId="9" fillId="0" borderId="24" xfId="0" applyFont="1" applyFill="1" applyBorder="1"/>
    <xf numFmtId="0" fontId="9" fillId="0" borderId="8" xfId="0" applyFont="1" applyFill="1" applyBorder="1"/>
    <xf numFmtId="44" fontId="9" fillId="0" borderId="2" xfId="0" applyNumberFormat="1" applyFont="1" applyFill="1" applyBorder="1"/>
    <xf numFmtId="0" fontId="9" fillId="0" borderId="97" xfId="0" applyFont="1" applyBorder="1"/>
    <xf numFmtId="0" fontId="9" fillId="0" borderId="90" xfId="0" applyFont="1" applyBorder="1"/>
    <xf numFmtId="43" fontId="9" fillId="0" borderId="98" xfId="0" applyNumberFormat="1" applyFont="1" applyBorder="1"/>
    <xf numFmtId="0" fontId="9" fillId="0" borderId="99" xfId="0" applyFont="1" applyFill="1" applyBorder="1"/>
    <xf numFmtId="0" fontId="9" fillId="0" borderId="104" xfId="0" applyFont="1" applyFill="1" applyBorder="1"/>
    <xf numFmtId="0" fontId="9" fillId="0" borderId="108" xfId="0" applyFont="1" applyFill="1" applyBorder="1"/>
    <xf numFmtId="0" fontId="9" fillId="0" borderId="101" xfId="0" applyFont="1" applyBorder="1"/>
    <xf numFmtId="0" fontId="9" fillId="0" borderId="102" xfId="0" applyFont="1" applyBorder="1"/>
    <xf numFmtId="43" fontId="9" fillId="0" borderId="103" xfId="0" applyNumberFormat="1" applyFont="1" applyBorder="1"/>
    <xf numFmtId="42" fontId="9" fillId="0" borderId="40" xfId="0" applyNumberFormat="1" applyFont="1" applyBorder="1"/>
    <xf numFmtId="42" fontId="11" fillId="0" borderId="25" xfId="0" applyNumberFormat="1" applyFont="1" applyBorder="1"/>
    <xf numFmtId="42" fontId="9" fillId="0" borderId="25" xfId="0" applyNumberFormat="1" applyFont="1" applyBorder="1"/>
    <xf numFmtId="42" fontId="9" fillId="0" borderId="16" xfId="0" applyNumberFormat="1" applyFont="1" applyBorder="1"/>
    <xf numFmtId="42" fontId="11" fillId="0" borderId="40" xfId="0" applyNumberFormat="1" applyFont="1" applyBorder="1"/>
    <xf numFmtId="42" fontId="9" fillId="0" borderId="26" xfId="0" applyNumberFormat="1" applyFont="1" applyBorder="1"/>
    <xf numFmtId="42" fontId="9" fillId="0" borderId="70" xfId="0" applyNumberFormat="1" applyFont="1" applyBorder="1"/>
    <xf numFmtId="0" fontId="22" fillId="0" borderId="20" xfId="0" applyFont="1" applyFill="1" applyBorder="1"/>
    <xf numFmtId="0" fontId="12" fillId="0" borderId="71" xfId="0" applyFont="1" applyBorder="1" applyAlignment="1">
      <alignment horizontal="center"/>
    </xf>
    <xf numFmtId="44" fontId="12" fillId="0" borderId="75" xfId="0" applyNumberFormat="1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12" fillId="0" borderId="43" xfId="0" applyFont="1" applyFill="1" applyBorder="1" applyAlignment="1">
      <alignment horizontal="right"/>
    </xf>
    <xf numFmtId="44" fontId="9" fillId="0" borderId="75" xfId="0" applyNumberFormat="1" applyFont="1" applyFill="1" applyBorder="1"/>
    <xf numFmtId="0" fontId="22" fillId="0" borderId="23" xfId="0" applyFont="1" applyFill="1" applyBorder="1"/>
    <xf numFmtId="0" fontId="42" fillId="0" borderId="30" xfId="0" applyFont="1" applyBorder="1" applyAlignment="1">
      <alignment horizontal="center"/>
    </xf>
    <xf numFmtId="44" fontId="9" fillId="0" borderId="111" xfId="0" applyNumberFormat="1" applyFont="1" applyBorder="1"/>
    <xf numFmtId="0" fontId="22" fillId="0" borderId="20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12" fillId="0" borderId="20" xfId="0" applyFont="1" applyBorder="1" applyAlignment="1">
      <alignment vertical="center" wrapText="1"/>
    </xf>
    <xf numFmtId="44" fontId="12" fillId="0" borderId="30" xfId="1" applyNumberFormat="1" applyFont="1" applyBorder="1" applyAlignment="1">
      <alignment horizontal="left"/>
    </xf>
    <xf numFmtId="44" fontId="12" fillId="0" borderId="30" xfId="0" applyNumberFormat="1" applyFont="1" applyBorder="1"/>
    <xf numFmtId="44" fontId="12" fillId="0" borderId="31" xfId="0" applyNumberFormat="1" applyFont="1" applyBorder="1"/>
    <xf numFmtId="0" fontId="12" fillId="0" borderId="47" xfId="0" applyFont="1" applyBorder="1"/>
    <xf numFmtId="44" fontId="9" fillId="0" borderId="77" xfId="0" applyNumberFormat="1" applyFont="1" applyBorder="1" applyAlignment="1">
      <alignment horizontal="center"/>
    </xf>
    <xf numFmtId="44" fontId="9" fillId="0" borderId="19" xfId="1" applyFont="1" applyBorder="1"/>
    <xf numFmtId="44" fontId="9" fillId="0" borderId="19" xfId="1" applyNumberFormat="1" applyFont="1" applyBorder="1"/>
    <xf numFmtId="44" fontId="9" fillId="0" borderId="25" xfId="0" applyNumberFormat="1" applyFont="1" applyBorder="1"/>
    <xf numFmtId="0" fontId="9" fillId="2" borderId="46" xfId="0" applyFont="1" applyFill="1" applyBorder="1" applyAlignment="1"/>
    <xf numFmtId="44" fontId="11" fillId="0" borderId="46" xfId="0" applyNumberFormat="1" applyFont="1" applyFill="1" applyBorder="1"/>
    <xf numFmtId="0" fontId="9" fillId="2" borderId="19" xfId="0" applyFont="1" applyFill="1" applyBorder="1" applyAlignment="1"/>
    <xf numFmtId="0" fontId="9" fillId="2" borderId="25" xfId="0" applyFont="1" applyFill="1" applyBorder="1" applyAlignment="1"/>
    <xf numFmtId="44" fontId="11" fillId="0" borderId="25" xfId="0" applyNumberFormat="1" applyFont="1" applyFill="1" applyBorder="1"/>
    <xf numFmtId="44" fontId="11" fillId="0" borderId="19" xfId="0" applyNumberFormat="1" applyFont="1" applyBorder="1"/>
    <xf numFmtId="0" fontId="54" fillId="0" borderId="0" xfId="0" applyFont="1"/>
    <xf numFmtId="44" fontId="12" fillId="0" borderId="46" xfId="0" applyNumberFormat="1" applyFont="1" applyBorder="1"/>
    <xf numFmtId="0" fontId="12" fillId="0" borderId="52" xfId="0" applyFont="1" applyBorder="1"/>
    <xf numFmtId="44" fontId="35" fillId="0" borderId="16" xfId="1" applyFont="1" applyFill="1" applyBorder="1" applyAlignment="1">
      <alignment horizontal="left"/>
    </xf>
    <xf numFmtId="44" fontId="35" fillId="0" borderId="77" xfId="1" applyFont="1" applyFill="1" applyBorder="1" applyAlignment="1">
      <alignment horizontal="left"/>
    </xf>
    <xf numFmtId="44" fontId="9" fillId="0" borderId="77" xfId="1" applyFont="1" applyFill="1" applyBorder="1" applyAlignment="1">
      <alignment horizontal="left"/>
    </xf>
    <xf numFmtId="44" fontId="9" fillId="2" borderId="16" xfId="1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vertical="top"/>
    </xf>
    <xf numFmtId="0" fontId="12" fillId="0" borderId="20" xfId="0" applyFont="1" applyFill="1" applyBorder="1" applyAlignment="1">
      <alignment vertical="top" wrapText="1"/>
    </xf>
    <xf numFmtId="44" fontId="12" fillId="0" borderId="86" xfId="1" applyNumberFormat="1" applyFont="1" applyBorder="1" applyAlignment="1"/>
    <xf numFmtId="0" fontId="22" fillId="0" borderId="16" xfId="0" applyFont="1" applyFill="1" applyBorder="1" applyAlignment="1">
      <alignment horizontal="left" vertical="top"/>
    </xf>
    <xf numFmtId="0" fontId="22" fillId="0" borderId="19" xfId="0" applyFont="1" applyBorder="1" applyAlignment="1">
      <alignment horizontal="left"/>
    </xf>
    <xf numFmtId="44" fontId="22" fillId="0" borderId="19" xfId="0" applyNumberFormat="1" applyFont="1" applyBorder="1"/>
    <xf numFmtId="44" fontId="35" fillId="0" borderId="16" xfId="0" applyNumberFormat="1" applyFont="1" applyBorder="1"/>
    <xf numFmtId="44" fontId="35" fillId="0" borderId="19" xfId="0" applyNumberFormat="1" applyFont="1" applyBorder="1"/>
    <xf numFmtId="0" fontId="12" fillId="0" borderId="19" xfId="0" applyFont="1" applyBorder="1" applyAlignment="1">
      <alignment horizontal="left"/>
    </xf>
    <xf numFmtId="44" fontId="12" fillId="0" borderId="77" xfId="0" applyNumberFormat="1" applyFont="1" applyBorder="1" applyAlignment="1">
      <alignment horizontal="center"/>
    </xf>
    <xf numFmtId="44" fontId="9" fillId="0" borderId="80" xfId="0" applyNumberFormat="1" applyFont="1" applyBorder="1" applyAlignment="1">
      <alignment horizontal="center"/>
    </xf>
    <xf numFmtId="44" fontId="9" fillId="0" borderId="26" xfId="0" applyNumberFormat="1" applyFont="1" applyBorder="1" applyAlignment="1">
      <alignment horizontal="center"/>
    </xf>
    <xf numFmtId="0" fontId="21" fillId="0" borderId="16" xfId="0" applyFont="1" applyBorder="1" applyAlignment="1"/>
    <xf numFmtId="0" fontId="26" fillId="0" borderId="52" xfId="0" applyFont="1" applyBorder="1"/>
    <xf numFmtId="44" fontId="12" fillId="0" borderId="26" xfId="1" applyNumberFormat="1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44" fontId="9" fillId="0" borderId="29" xfId="0" applyNumberFormat="1" applyFont="1" applyFill="1" applyBorder="1"/>
    <xf numFmtId="44" fontId="9" fillId="0" borderId="3" xfId="0" applyNumberFormat="1" applyFont="1" applyFill="1" applyBorder="1"/>
    <xf numFmtId="44" fontId="9" fillId="0" borderId="24" xfId="0" applyNumberFormat="1" applyFont="1" applyFill="1" applyBorder="1"/>
    <xf numFmtId="44" fontId="9" fillId="0" borderId="8" xfId="0" applyNumberFormat="1" applyFont="1" applyFill="1" applyBorder="1"/>
    <xf numFmtId="44" fontId="9" fillId="0" borderId="6" xfId="0" applyNumberFormat="1" applyFont="1" applyFill="1" applyBorder="1"/>
    <xf numFmtId="44" fontId="9" fillId="0" borderId="8" xfId="0" applyNumberFormat="1" applyFont="1" applyBorder="1"/>
    <xf numFmtId="0" fontId="9" fillId="0" borderId="44" xfId="0" applyFont="1" applyBorder="1"/>
    <xf numFmtId="0" fontId="55" fillId="0" borderId="0" xfId="0" applyFont="1"/>
    <xf numFmtId="0" fontId="9" fillId="0" borderId="11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11" xfId="0" applyFont="1" applyBorder="1" applyAlignment="1">
      <alignment horizontal="center"/>
    </xf>
    <xf numFmtId="44" fontId="12" fillId="0" borderId="26" xfId="0" applyNumberFormat="1" applyFont="1" applyBorder="1" applyAlignment="1">
      <alignment horizontal="center"/>
    </xf>
    <xf numFmtId="0" fontId="17" fillId="0" borderId="4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4" fontId="12" fillId="0" borderId="3" xfId="0" applyNumberFormat="1" applyFont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/>
    </xf>
    <xf numFmtId="44" fontId="12" fillId="0" borderId="2" xfId="0" applyNumberFormat="1" applyFont="1" applyFill="1" applyBorder="1" applyAlignment="1">
      <alignment horizontal="center" vertical="center"/>
    </xf>
    <xf numFmtId="44" fontId="22" fillId="0" borderId="3" xfId="0" applyNumberFormat="1" applyFont="1" applyBorder="1" applyAlignment="1">
      <alignment horizontal="center" vertical="center"/>
    </xf>
    <xf numFmtId="44" fontId="9" fillId="0" borderId="3" xfId="0" applyNumberFormat="1" applyFont="1" applyBorder="1" applyAlignment="1">
      <alignment horizontal="center" vertical="center"/>
    </xf>
    <xf numFmtId="0" fontId="9" fillId="0" borderId="11" xfId="0" applyFont="1" applyFill="1" applyBorder="1"/>
    <xf numFmtId="0" fontId="9" fillId="7" borderId="0" xfId="0" applyFont="1" applyFill="1"/>
    <xf numFmtId="44" fontId="11" fillId="0" borderId="39" xfId="0" applyNumberFormat="1" applyFont="1" applyBorder="1" applyAlignment="1">
      <alignment horizontal="right"/>
    </xf>
    <xf numFmtId="0" fontId="9" fillId="0" borderId="110" xfId="0" applyFont="1" applyFill="1" applyBorder="1"/>
    <xf numFmtId="0" fontId="9" fillId="0" borderId="106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2" fillId="0" borderId="22" xfId="0" applyFont="1" applyFill="1" applyBorder="1"/>
    <xf numFmtId="44" fontId="9" fillId="0" borderId="31" xfId="0" applyNumberFormat="1" applyFont="1" applyBorder="1"/>
    <xf numFmtId="0" fontId="12" fillId="0" borderId="75" xfId="0" applyFont="1" applyBorder="1" applyAlignment="1">
      <alignment horizontal="center" vertical="center"/>
    </xf>
    <xf numFmtId="44" fontId="9" fillId="0" borderId="116" xfId="0" applyNumberFormat="1" applyFont="1" applyBorder="1" applyAlignment="1">
      <alignment horizontal="center" vertical="center"/>
    </xf>
    <xf numFmtId="43" fontId="9" fillId="0" borderId="100" xfId="0" applyNumberFormat="1" applyFont="1" applyFill="1" applyBorder="1"/>
    <xf numFmtId="44" fontId="12" fillId="0" borderId="30" xfId="1" applyNumberFormat="1" applyFont="1" applyFill="1" applyBorder="1"/>
    <xf numFmtId="44" fontId="9" fillId="2" borderId="46" xfId="0" applyNumberFormat="1" applyFont="1" applyFill="1" applyBorder="1" applyAlignment="1">
      <alignment horizontal="center" vertical="center"/>
    </xf>
    <xf numFmtId="44" fontId="9" fillId="0" borderId="26" xfId="0" applyNumberFormat="1" applyFont="1" applyBorder="1"/>
    <xf numFmtId="43" fontId="9" fillId="0" borderId="105" xfId="0" applyNumberFormat="1" applyFont="1" applyFill="1" applyBorder="1"/>
    <xf numFmtId="43" fontId="9" fillId="0" borderId="109" xfId="0" applyNumberFormat="1" applyFont="1" applyFill="1" applyBorder="1"/>
    <xf numFmtId="43" fontId="9" fillId="0" borderId="107" xfId="0" applyNumberFormat="1" applyFont="1" applyFill="1" applyBorder="1"/>
    <xf numFmtId="2" fontId="9" fillId="0" borderId="33" xfId="0" applyNumberFormat="1" applyFont="1" applyFill="1" applyBorder="1"/>
    <xf numFmtId="2" fontId="9" fillId="0" borderId="2" xfId="0" applyNumberFormat="1" applyFont="1" applyFill="1" applyBorder="1"/>
    <xf numFmtId="2" fontId="9" fillId="0" borderId="12" xfId="0" applyNumberFormat="1" applyFont="1" applyFill="1" applyBorder="1"/>
    <xf numFmtId="2" fontId="9" fillId="0" borderId="15" xfId="0" applyNumberFormat="1" applyFont="1" applyFill="1" applyBorder="1"/>
    <xf numFmtId="2" fontId="9" fillId="0" borderId="7" xfId="0" applyNumberFormat="1" applyFont="1" applyFill="1" applyBorder="1"/>
    <xf numFmtId="2" fontId="9" fillId="0" borderId="2" xfId="0" applyNumberFormat="1" applyFont="1" applyBorder="1"/>
    <xf numFmtId="44" fontId="12" fillId="0" borderId="16" xfId="0" applyNumberFormat="1" applyFont="1" applyBorder="1" applyAlignment="1">
      <alignment vertical="center"/>
    </xf>
    <xf numFmtId="0" fontId="12" fillId="3" borderId="26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center"/>
    </xf>
    <xf numFmtId="0" fontId="14" fillId="0" borderId="54" xfId="0" applyFont="1" applyBorder="1" applyAlignment="1">
      <alignment horizontal="center"/>
    </xf>
    <xf numFmtId="43" fontId="9" fillId="0" borderId="40" xfId="0" applyNumberFormat="1" applyFont="1" applyBorder="1"/>
    <xf numFmtId="43" fontId="9" fillId="0" borderId="25" xfId="0" applyNumberFormat="1" applyFont="1" applyBorder="1"/>
    <xf numFmtId="43" fontId="9" fillId="0" borderId="16" xfId="0" applyNumberFormat="1" applyFont="1" applyBorder="1"/>
    <xf numFmtId="43" fontId="9" fillId="0" borderId="46" xfId="0" applyNumberFormat="1" applyFont="1" applyBorder="1"/>
    <xf numFmtId="43" fontId="9" fillId="0" borderId="40" xfId="0" applyNumberFormat="1" applyFont="1" applyFill="1" applyBorder="1"/>
    <xf numFmtId="43" fontId="9" fillId="0" borderId="25" xfId="0" applyNumberFormat="1" applyFont="1" applyFill="1" applyBorder="1"/>
    <xf numFmtId="43" fontId="9" fillId="0" borderId="16" xfId="0" applyNumberFormat="1" applyFont="1" applyFill="1" applyBorder="1"/>
    <xf numFmtId="43" fontId="9" fillId="0" borderId="46" xfId="0" applyNumberFormat="1" applyFont="1" applyFill="1" applyBorder="1"/>
    <xf numFmtId="44" fontId="53" fillId="0" borderId="2" xfId="0" applyNumberFormat="1" applyFont="1" applyFill="1" applyBorder="1"/>
    <xf numFmtId="44" fontId="11" fillId="0" borderId="26" xfId="0" applyNumberFormat="1" applyFont="1" applyBorder="1"/>
    <xf numFmtId="0" fontId="1" fillId="0" borderId="0" xfId="0" applyFont="1" applyAlignment="1">
      <alignment horizontal="center"/>
    </xf>
    <xf numFmtId="0" fontId="12" fillId="0" borderId="70" xfId="0" applyFont="1" applyBorder="1" applyAlignment="1">
      <alignment horizontal="left"/>
    </xf>
    <xf numFmtId="44" fontId="12" fillId="0" borderId="70" xfId="1" applyFont="1" applyBorder="1"/>
    <xf numFmtId="0" fontId="17" fillId="0" borderId="19" xfId="0" applyFont="1" applyBorder="1" applyAlignment="1">
      <alignment horizontal="center"/>
    </xf>
    <xf numFmtId="0" fontId="17" fillId="0" borderId="19" xfId="1" applyNumberFormat="1" applyFont="1" applyBorder="1" applyAlignment="1">
      <alignment horizontal="center"/>
    </xf>
    <xf numFmtId="44" fontId="15" fillId="0" borderId="2" xfId="1" applyNumberFormat="1" applyFont="1" applyFill="1" applyBorder="1"/>
    <xf numFmtId="0" fontId="22" fillId="0" borderId="20" xfId="0" applyFont="1" applyBorder="1" applyAlignment="1">
      <alignment wrapText="1"/>
    </xf>
    <xf numFmtId="0" fontId="22" fillId="0" borderId="20" xfId="0" applyFont="1" applyBorder="1" applyAlignment="1">
      <alignment horizontal="center"/>
    </xf>
    <xf numFmtId="0" fontId="22" fillId="0" borderId="20" xfId="0" applyFont="1" applyBorder="1"/>
    <xf numFmtId="0" fontId="22" fillId="0" borderId="46" xfId="0" applyFont="1" applyBorder="1" applyAlignment="1">
      <alignment horizontal="left"/>
    </xf>
    <xf numFmtId="44" fontId="12" fillId="0" borderId="1" xfId="0" applyNumberFormat="1" applyFont="1" applyBorder="1" applyAlignment="1">
      <alignment horizontal="left" vertical="center"/>
    </xf>
    <xf numFmtId="0" fontId="35" fillId="0" borderId="16" xfId="0" applyFont="1" applyBorder="1" applyAlignment="1">
      <alignment wrapText="1"/>
    </xf>
    <xf numFmtId="0" fontId="35" fillId="0" borderId="23" xfId="0" applyFont="1" applyBorder="1"/>
    <xf numFmtId="0" fontId="9" fillId="0" borderId="71" xfId="0" applyFont="1" applyFill="1" applyBorder="1"/>
    <xf numFmtId="0" fontId="9" fillId="0" borderId="72" xfId="0" applyFont="1" applyFill="1" applyBorder="1"/>
    <xf numFmtId="44" fontId="9" fillId="0" borderId="73" xfId="0" applyNumberFormat="1" applyFont="1" applyFill="1" applyBorder="1"/>
    <xf numFmtId="167" fontId="9" fillId="0" borderId="1" xfId="0" applyNumberFormat="1" applyFont="1" applyFill="1" applyBorder="1" applyAlignment="1">
      <alignment horizontal="right"/>
    </xf>
    <xf numFmtId="167" fontId="9" fillId="0" borderId="20" xfId="0" applyNumberFormat="1" applyFont="1" applyFill="1" applyBorder="1" applyAlignment="1">
      <alignment horizontal="right"/>
    </xf>
    <xf numFmtId="44" fontId="9" fillId="0" borderId="33" xfId="0" applyNumberFormat="1" applyFont="1" applyBorder="1"/>
    <xf numFmtId="44" fontId="9" fillId="0" borderId="81" xfId="0" applyNumberFormat="1" applyFont="1" applyFill="1" applyBorder="1"/>
    <xf numFmtId="44" fontId="9" fillId="0" borderId="88" xfId="0" applyNumberFormat="1" applyFont="1" applyFill="1" applyBorder="1"/>
    <xf numFmtId="44" fontId="9" fillId="0" borderId="114" xfId="0" applyNumberFormat="1" applyFont="1" applyFill="1" applyBorder="1"/>
    <xf numFmtId="44" fontId="9" fillId="0" borderId="0" xfId="0" applyNumberFormat="1" applyFont="1" applyFill="1"/>
    <xf numFmtId="44" fontId="9" fillId="0" borderId="0" xfId="0" applyNumberFormat="1" applyFont="1" applyBorder="1"/>
    <xf numFmtId="44" fontId="9" fillId="0" borderId="0" xfId="0" applyNumberFormat="1" applyFont="1" applyFill="1" applyBorder="1"/>
    <xf numFmtId="44" fontId="14" fillId="0" borderId="2" xfId="0" applyNumberFormat="1" applyFont="1" applyFill="1" applyBorder="1"/>
    <xf numFmtId="0" fontId="52" fillId="0" borderId="0" xfId="0" applyFont="1" applyFill="1" applyBorder="1"/>
    <xf numFmtId="9" fontId="52" fillId="2" borderId="0" xfId="0" applyNumberFormat="1" applyFont="1" applyFill="1" applyBorder="1"/>
    <xf numFmtId="8" fontId="52" fillId="2" borderId="0" xfId="0" applyNumberFormat="1" applyFont="1" applyFill="1" applyBorder="1"/>
    <xf numFmtId="0" fontId="52" fillId="2" borderId="0" xfId="0" applyFont="1" applyFill="1" applyBorder="1"/>
    <xf numFmtId="0" fontId="9" fillId="2" borderId="0" xfId="0" applyFont="1" applyFill="1" applyBorder="1"/>
    <xf numFmtId="8" fontId="9" fillId="0" borderId="0" xfId="0" applyNumberFormat="1" applyFont="1" applyBorder="1"/>
    <xf numFmtId="0" fontId="9" fillId="0" borderId="1" xfId="0" applyFont="1" applyFill="1" applyBorder="1" applyAlignment="1">
      <alignment wrapText="1"/>
    </xf>
    <xf numFmtId="168" fontId="20" fillId="0" borderId="29" xfId="0" applyNumberFormat="1" applyFont="1" applyFill="1" applyBorder="1"/>
    <xf numFmtId="44" fontId="20" fillId="0" borderId="29" xfId="0" applyNumberFormat="1" applyFont="1" applyFill="1" applyBorder="1"/>
    <xf numFmtId="44" fontId="20" fillId="0" borderId="33" xfId="0" applyNumberFormat="1" applyFont="1" applyFill="1" applyBorder="1"/>
    <xf numFmtId="44" fontId="9" fillId="0" borderId="57" xfId="0" applyNumberFormat="1" applyFont="1" applyBorder="1"/>
    <xf numFmtId="44" fontId="11" fillId="0" borderId="3" xfId="0" applyNumberFormat="1" applyFont="1" applyFill="1" applyBorder="1"/>
    <xf numFmtId="44" fontId="9" fillId="0" borderId="3" xfId="0" applyNumberFormat="1" applyFont="1" applyFill="1" applyBorder="1" applyAlignment="1">
      <alignment horizontal="center"/>
    </xf>
    <xf numFmtId="44" fontId="9" fillId="0" borderId="33" xfId="0" applyNumberFormat="1" applyFont="1" applyFill="1" applyBorder="1"/>
    <xf numFmtId="44" fontId="9" fillId="0" borderId="58" xfId="0" applyNumberFormat="1" applyFont="1" applyFill="1" applyBorder="1"/>
    <xf numFmtId="44" fontId="9" fillId="0" borderId="61" xfId="0" applyNumberFormat="1" applyFont="1" applyBorder="1"/>
    <xf numFmtId="0" fontId="9" fillId="0" borderId="28" xfId="0" applyFont="1" applyBorder="1"/>
    <xf numFmtId="0" fontId="9" fillId="0" borderId="4" xfId="0" applyFont="1" applyBorder="1"/>
    <xf numFmtId="0" fontId="9" fillId="0" borderId="53" xfId="0" applyFont="1" applyBorder="1"/>
    <xf numFmtId="0" fontId="9" fillId="0" borderId="73" xfId="0" applyFont="1" applyBorder="1"/>
    <xf numFmtId="0" fontId="11" fillId="0" borderId="73" xfId="0" applyFont="1" applyBorder="1"/>
    <xf numFmtId="0" fontId="9" fillId="0" borderId="118" xfId="0" applyFont="1" applyBorder="1"/>
    <xf numFmtId="0" fontId="9" fillId="0" borderId="29" xfId="0" applyFont="1" applyBorder="1"/>
    <xf numFmtId="0" fontId="20" fillId="0" borderId="3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15" fillId="3" borderId="32" xfId="0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44" fontId="30" fillId="0" borderId="20" xfId="1" applyFont="1" applyBorder="1" applyAlignment="1">
      <alignment horizontal="center" wrapText="1"/>
    </xf>
    <xf numFmtId="44" fontId="9" fillId="0" borderId="20" xfId="0" applyNumberFormat="1" applyFont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44" fontId="11" fillId="0" borderId="20" xfId="0" applyNumberFormat="1" applyFont="1" applyBorder="1"/>
    <xf numFmtId="44" fontId="11" fillId="0" borderId="52" xfId="0" applyNumberFormat="1" applyFont="1" applyBorder="1"/>
    <xf numFmtId="44" fontId="11" fillId="0" borderId="76" xfId="1" applyFont="1" applyBorder="1" applyAlignment="1">
      <alignment horizontal="center"/>
    </xf>
    <xf numFmtId="9" fontId="9" fillId="0" borderId="0" xfId="0" applyNumberFormat="1" applyFont="1" applyFill="1"/>
    <xf numFmtId="44" fontId="12" fillId="0" borderId="16" xfId="0" applyNumberFormat="1" applyFont="1" applyFill="1" applyBorder="1" applyAlignment="1">
      <alignment horizontal="center"/>
    </xf>
    <xf numFmtId="44" fontId="12" fillId="0" borderId="16" xfId="0" applyNumberFormat="1" applyFont="1" applyFill="1" applyBorder="1" applyAlignment="1">
      <alignment vertical="center"/>
    </xf>
    <xf numFmtId="44" fontId="12" fillId="0" borderId="16" xfId="1" applyFont="1" applyFill="1" applyBorder="1"/>
    <xf numFmtId="42" fontId="0" fillId="0" borderId="13" xfId="0" applyNumberFormat="1" applyBorder="1"/>
    <xf numFmtId="42" fontId="45" fillId="0" borderId="83" xfId="1" applyNumberFormat="1" applyFont="1" applyFill="1" applyBorder="1"/>
    <xf numFmtId="0" fontId="24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11" fillId="0" borderId="1" xfId="0" applyFont="1" applyFill="1" applyBorder="1"/>
    <xf numFmtId="0" fontId="1" fillId="0" borderId="0" xfId="2" applyFont="1" applyBorder="1"/>
    <xf numFmtId="44" fontId="18" fillId="0" borderId="0" xfId="0" applyNumberFormat="1" applyFont="1" applyBorder="1"/>
    <xf numFmtId="44" fontId="15" fillId="0" borderId="0" xfId="0" applyNumberFormat="1" applyFont="1" applyBorder="1"/>
    <xf numFmtId="44" fontId="9" fillId="0" borderId="75" xfId="0" applyNumberFormat="1" applyFont="1" applyBorder="1" applyAlignment="1">
      <alignment horizontal="center" vertical="center"/>
    </xf>
    <xf numFmtId="44" fontId="9" fillId="0" borderId="72" xfId="0" applyNumberFormat="1" applyFont="1" applyFill="1" applyBorder="1"/>
    <xf numFmtId="2" fontId="9" fillId="0" borderId="79" xfId="0" applyNumberFormat="1" applyFont="1" applyFill="1" applyBorder="1"/>
    <xf numFmtId="0" fontId="51" fillId="0" borderId="44" xfId="0" applyFont="1" applyFill="1" applyBorder="1"/>
    <xf numFmtId="0" fontId="9" fillId="0" borderId="44" xfId="0" applyFont="1" applyFill="1" applyBorder="1" applyAlignment="1">
      <alignment horizontal="center"/>
    </xf>
    <xf numFmtId="0" fontId="9" fillId="0" borderId="88" xfId="0" applyFont="1" applyBorder="1"/>
    <xf numFmtId="0" fontId="9" fillId="0" borderId="120" xfId="0" applyFont="1" applyFill="1" applyBorder="1"/>
    <xf numFmtId="0" fontId="9" fillId="0" borderId="92" xfId="0" applyFont="1" applyFill="1" applyBorder="1"/>
    <xf numFmtId="43" fontId="9" fillId="0" borderId="125" xfId="0" applyNumberFormat="1" applyFont="1" applyFill="1" applyBorder="1"/>
    <xf numFmtId="0" fontId="9" fillId="0" borderId="126" xfId="0" applyFont="1" applyFill="1" applyBorder="1"/>
    <xf numFmtId="0" fontId="9" fillId="0" borderId="127" xfId="0" applyFont="1" applyFill="1" applyBorder="1"/>
    <xf numFmtId="0" fontId="9" fillId="0" borderId="73" xfId="0" applyFont="1" applyFill="1" applyBorder="1"/>
    <xf numFmtId="0" fontId="9" fillId="0" borderId="114" xfId="0" applyFont="1" applyFill="1" applyBorder="1"/>
    <xf numFmtId="167" fontId="9" fillId="0" borderId="128" xfId="0" applyNumberFormat="1" applyFont="1" applyFill="1" applyBorder="1"/>
    <xf numFmtId="167" fontId="9" fillId="0" borderId="59" xfId="0" applyNumberFormat="1" applyFont="1" applyFill="1" applyBorder="1"/>
    <xf numFmtId="167" fontId="9" fillId="0" borderId="117" xfId="0" applyNumberFormat="1" applyFont="1" applyFill="1" applyBorder="1"/>
    <xf numFmtId="167" fontId="9" fillId="0" borderId="119" xfId="0" applyNumberFormat="1" applyFont="1" applyFill="1" applyBorder="1"/>
    <xf numFmtId="167" fontId="9" fillId="0" borderId="129" xfId="0" applyNumberFormat="1" applyFont="1" applyFill="1" applyBorder="1"/>
    <xf numFmtId="167" fontId="9" fillId="0" borderId="59" xfId="0" applyNumberFormat="1" applyFont="1" applyBorder="1"/>
    <xf numFmtId="167" fontId="9" fillId="0" borderId="130" xfId="0" applyNumberFormat="1" applyFont="1" applyFill="1" applyBorder="1"/>
    <xf numFmtId="44" fontId="9" fillId="0" borderId="70" xfId="0" applyNumberFormat="1" applyFont="1" applyFill="1" applyBorder="1"/>
    <xf numFmtId="1" fontId="9" fillId="0" borderId="3" xfId="0" applyNumberFormat="1" applyFont="1" applyFill="1" applyBorder="1"/>
    <xf numFmtId="1" fontId="9" fillId="0" borderId="3" xfId="0" applyNumberFormat="1" applyFont="1" applyBorder="1"/>
    <xf numFmtId="1" fontId="9" fillId="0" borderId="92" xfId="0" applyNumberFormat="1" applyFont="1" applyBorder="1"/>
    <xf numFmtId="2" fontId="9" fillId="0" borderId="3" xfId="0" applyNumberFormat="1" applyFont="1" applyFill="1" applyBorder="1"/>
    <xf numFmtId="2" fontId="9" fillId="0" borderId="11" xfId="0" applyNumberFormat="1" applyFont="1" applyFill="1" applyBorder="1"/>
    <xf numFmtId="2" fontId="9" fillId="0" borderId="11" xfId="0" applyNumberFormat="1" applyFont="1" applyBorder="1"/>
    <xf numFmtId="2" fontId="9" fillId="0" borderId="92" xfId="0" applyNumberFormat="1" applyFont="1" applyBorder="1"/>
    <xf numFmtId="164" fontId="9" fillId="0" borderId="35" xfId="0" applyNumberFormat="1" applyFont="1" applyBorder="1"/>
    <xf numFmtId="164" fontId="9" fillId="0" borderId="93" xfId="0" applyNumberFormat="1" applyFont="1" applyBorder="1"/>
    <xf numFmtId="3" fontId="9" fillId="0" borderId="35" xfId="0" applyNumberFormat="1" applyFont="1" applyBorder="1"/>
    <xf numFmtId="0" fontId="55" fillId="0" borderId="0" xfId="0" applyFont="1" applyFill="1"/>
    <xf numFmtId="44" fontId="9" fillId="0" borderId="54" xfId="0" applyNumberFormat="1" applyFont="1" applyFill="1" applyBorder="1" applyAlignment="1">
      <alignment horizontal="center" vertical="center"/>
    </xf>
    <xf numFmtId="44" fontId="12" fillId="0" borderId="22" xfId="1" applyNumberFormat="1" applyFont="1" applyBorder="1" applyAlignment="1">
      <alignment horizontal="left"/>
    </xf>
    <xf numFmtId="44" fontId="12" fillId="0" borderId="30" xfId="1" applyNumberFormat="1" applyFont="1" applyBorder="1"/>
    <xf numFmtId="0" fontId="12" fillId="0" borderId="74" xfId="0" applyFont="1" applyBorder="1"/>
    <xf numFmtId="0" fontId="12" fillId="0" borderId="31" xfId="0" applyFont="1" applyBorder="1"/>
    <xf numFmtId="0" fontId="17" fillId="3" borderId="32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14" fillId="2" borderId="70" xfId="0" applyFont="1" applyFill="1" applyBorder="1" applyAlignment="1">
      <alignment horizontal="left"/>
    </xf>
    <xf numFmtId="44" fontId="14" fillId="2" borderId="70" xfId="1" applyFont="1" applyFill="1" applyBorder="1"/>
    <xf numFmtId="0" fontId="12" fillId="0" borderId="40" xfId="0" applyFont="1" applyBorder="1" applyAlignment="1">
      <alignment horizontal="left"/>
    </xf>
    <xf numFmtId="44" fontId="9" fillId="0" borderId="46" xfId="0" applyNumberFormat="1" applyFont="1" applyFill="1" applyBorder="1" applyAlignment="1">
      <alignment horizontal="center" vertical="center"/>
    </xf>
    <xf numFmtId="44" fontId="9" fillId="0" borderId="19" xfId="0" applyNumberFormat="1" applyFont="1" applyFill="1" applyBorder="1"/>
    <xf numFmtId="0" fontId="15" fillId="0" borderId="3" xfId="0" applyFont="1" applyFill="1" applyBorder="1"/>
    <xf numFmtId="44" fontId="9" fillId="0" borderId="19" xfId="0" applyNumberFormat="1" applyFont="1" applyFill="1" applyBorder="1" applyAlignment="1">
      <alignment horizontal="center"/>
    </xf>
    <xf numFmtId="44" fontId="9" fillId="0" borderId="16" xfId="1" applyNumberFormat="1" applyFont="1" applyFill="1" applyBorder="1" applyAlignment="1">
      <alignment horizontal="center"/>
    </xf>
    <xf numFmtId="44" fontId="9" fillId="0" borderId="46" xfId="1" applyNumberFormat="1" applyFont="1" applyFill="1" applyBorder="1" applyAlignment="1">
      <alignment horizontal="center"/>
    </xf>
    <xf numFmtId="44" fontId="12" fillId="0" borderId="16" xfId="1" applyNumberFormat="1" applyFont="1" applyFill="1" applyBorder="1" applyAlignment="1">
      <alignment horizontal="left"/>
    </xf>
    <xf numFmtId="44" fontId="12" fillId="0" borderId="19" xfId="1" applyNumberFormat="1" applyFont="1" applyFill="1" applyBorder="1" applyAlignment="1">
      <alignment horizontal="left"/>
    </xf>
    <xf numFmtId="0" fontId="9" fillId="0" borderId="69" xfId="0" applyFont="1" applyFill="1" applyBorder="1" applyAlignment="1">
      <alignment horizontal="center"/>
    </xf>
    <xf numFmtId="44" fontId="9" fillId="0" borderId="69" xfId="0" applyNumberFormat="1" applyFont="1" applyFill="1" applyBorder="1" applyAlignment="1">
      <alignment horizontal="center"/>
    </xf>
    <xf numFmtId="164" fontId="0" fillId="0" borderId="69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131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132" xfId="0" applyFill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44" fontId="11" fillId="0" borderId="54" xfId="0" applyNumberFormat="1" applyFont="1" applyFill="1" applyBorder="1" applyAlignment="1">
      <alignment horizontal="center" vertical="center"/>
    </xf>
    <xf numFmtId="44" fontId="11" fillId="0" borderId="70" xfId="0" applyNumberFormat="1" applyFont="1" applyFill="1" applyBorder="1" applyAlignment="1">
      <alignment horizontal="center" vertical="center"/>
    </xf>
    <xf numFmtId="44" fontId="9" fillId="0" borderId="75" xfId="0" applyNumberFormat="1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44" fontId="11" fillId="0" borderId="0" xfId="0" applyNumberFormat="1" applyFont="1" applyBorder="1"/>
    <xf numFmtId="44" fontId="54" fillId="8" borderId="15" xfId="0" applyNumberFormat="1" applyFont="1" applyFill="1" applyBorder="1"/>
    <xf numFmtId="44" fontId="9" fillId="8" borderId="2" xfId="0" applyNumberFormat="1" applyFont="1" applyFill="1" applyBorder="1"/>
    <xf numFmtId="43" fontId="9" fillId="8" borderId="100" xfId="0" applyNumberFormat="1" applyFont="1" applyFill="1" applyBorder="1"/>
    <xf numFmtId="43" fontId="9" fillId="8" borderId="121" xfId="0" applyNumberFormat="1" applyFont="1" applyFill="1" applyBorder="1"/>
    <xf numFmtId="44" fontId="12" fillId="0" borderId="0" xfId="0" applyNumberFormat="1" applyFont="1" applyBorder="1"/>
    <xf numFmtId="0" fontId="12" fillId="0" borderId="30" xfId="0" applyFont="1" applyBorder="1" applyAlignment="1">
      <alignment horizontal="left"/>
    </xf>
    <xf numFmtId="0" fontId="12" fillId="0" borderId="30" xfId="0" applyFont="1" applyBorder="1"/>
    <xf numFmtId="44" fontId="35" fillId="0" borderId="19" xfId="1" applyFont="1" applyFill="1" applyBorder="1" applyAlignment="1">
      <alignment horizontal="left"/>
    </xf>
    <xf numFmtId="1" fontId="9" fillId="3" borderId="3" xfId="0" applyNumberFormat="1" applyFont="1" applyFill="1" applyBorder="1"/>
    <xf numFmtId="2" fontId="9" fillId="3" borderId="3" xfId="0" applyNumberFormat="1" applyFont="1" applyFill="1" applyBorder="1"/>
    <xf numFmtId="44" fontId="9" fillId="0" borderId="30" xfId="0" applyNumberFormat="1" applyFont="1" applyFill="1" applyBorder="1"/>
    <xf numFmtId="0" fontId="9" fillId="0" borderId="30" xfId="0" applyFont="1" applyFill="1" applyBorder="1"/>
    <xf numFmtId="167" fontId="9" fillId="0" borderId="1" xfId="0" applyNumberFormat="1" applyFont="1" applyFill="1" applyBorder="1"/>
    <xf numFmtId="0" fontId="12" fillId="0" borderId="1" xfId="0" applyFont="1" applyBorder="1"/>
    <xf numFmtId="0" fontId="9" fillId="0" borderId="22" xfId="0" applyFont="1" applyBorder="1"/>
    <xf numFmtId="44" fontId="12" fillId="0" borderId="77" xfId="0" applyNumberFormat="1" applyFont="1" applyFill="1" applyBorder="1"/>
    <xf numFmtId="0" fontId="4" fillId="0" borderId="47" xfId="0" applyFont="1" applyFill="1" applyBorder="1" applyAlignment="1"/>
    <xf numFmtId="44" fontId="4" fillId="0" borderId="49" xfId="0" applyNumberFormat="1" applyFont="1" applyFill="1" applyBorder="1" applyAlignment="1"/>
    <xf numFmtId="2" fontId="9" fillId="3" borderId="11" xfId="0" applyNumberFormat="1" applyFont="1" applyFill="1" applyBorder="1"/>
    <xf numFmtId="2" fontId="9" fillId="3" borderId="92" xfId="0" applyNumberFormat="1" applyFont="1" applyFill="1" applyBorder="1"/>
    <xf numFmtId="1" fontId="9" fillId="3" borderId="8" xfId="0" applyNumberFormat="1" applyFont="1" applyFill="1" applyBorder="1"/>
    <xf numFmtId="42" fontId="45" fillId="0" borderId="33" xfId="0" applyNumberFormat="1" applyFont="1" applyFill="1" applyBorder="1"/>
    <xf numFmtId="42" fontId="45" fillId="0" borderId="30" xfId="0" applyNumberFormat="1" applyFont="1" applyFill="1" applyBorder="1"/>
    <xf numFmtId="42" fontId="45" fillId="0" borderId="74" xfId="0" applyNumberFormat="1" applyFont="1" applyBorder="1"/>
    <xf numFmtId="42" fontId="0" fillId="0" borderId="0" xfId="0" applyNumberFormat="1" applyBorder="1"/>
    <xf numFmtId="42" fontId="45" fillId="0" borderId="91" xfId="1" quotePrefix="1" applyNumberFormat="1" applyFont="1" applyFill="1" applyBorder="1"/>
    <xf numFmtId="42" fontId="45" fillId="0" borderId="2" xfId="1" quotePrefix="1" applyNumberFormat="1" applyFont="1" applyFill="1" applyBorder="1"/>
    <xf numFmtId="42" fontId="45" fillId="0" borderId="15" xfId="1" applyNumberFormat="1" applyFont="1" applyFill="1" applyBorder="1"/>
    <xf numFmtId="42" fontId="45" fillId="0" borderId="33" xfId="1" applyNumberFormat="1" applyFont="1" applyFill="1" applyBorder="1"/>
    <xf numFmtId="42" fontId="45" fillId="0" borderId="2" xfId="1" applyNumberFormat="1" applyFont="1" applyFill="1" applyBorder="1" applyAlignment="1">
      <alignment horizontal="right"/>
    </xf>
    <xf numFmtId="42" fontId="45" fillId="0" borderId="2" xfId="1" applyNumberFormat="1" applyFont="1" applyFill="1" applyBorder="1"/>
    <xf numFmtId="42" fontId="45" fillId="0" borderId="7" xfId="1" applyNumberFormat="1" applyFont="1" applyFill="1" applyBorder="1"/>
    <xf numFmtId="42" fontId="31" fillId="0" borderId="0" xfId="0" applyNumberFormat="1" applyFont="1"/>
    <xf numFmtId="42" fontId="45" fillId="0" borderId="42" xfId="0" applyNumberFormat="1" applyFont="1" applyBorder="1" applyAlignment="1">
      <alignment vertical="center"/>
    </xf>
    <xf numFmtId="42" fontId="0" fillId="0" borderId="113" xfId="0" applyNumberFormat="1" applyBorder="1" applyAlignment="1">
      <alignment vertical="center"/>
    </xf>
    <xf numFmtId="0" fontId="9" fillId="0" borderId="17" xfId="0" applyNumberFormat="1" applyFont="1" applyBorder="1" applyAlignment="1">
      <alignment horizontal="center"/>
    </xf>
    <xf numFmtId="42" fontId="45" fillId="0" borderId="48" xfId="0" applyNumberFormat="1" applyFont="1" applyBorder="1"/>
    <xf numFmtId="0" fontId="9" fillId="0" borderId="47" xfId="0" applyNumberFormat="1" applyFont="1" applyBorder="1" applyAlignment="1">
      <alignment horizontal="center"/>
    </xf>
    <xf numFmtId="0" fontId="9" fillId="0" borderId="48" xfId="0" applyFont="1" applyBorder="1"/>
    <xf numFmtId="43" fontId="57" fillId="0" borderId="26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/>
    <xf numFmtId="0" fontId="21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44" fontId="9" fillId="0" borderId="75" xfId="0" applyNumberFormat="1" applyFont="1" applyBorder="1" applyAlignment="1">
      <alignment horizontal="center" vertical="center"/>
    </xf>
    <xf numFmtId="44" fontId="9" fillId="0" borderId="5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13" xfId="0" applyFont="1" applyBorder="1"/>
    <xf numFmtId="0" fontId="23" fillId="0" borderId="88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57" fillId="0" borderId="0" xfId="0" applyFont="1" applyBorder="1" applyAlignment="1">
      <alignment horizontal="center" vertical="center" wrapText="1"/>
    </xf>
    <xf numFmtId="0" fontId="58" fillId="0" borderId="0" xfId="0" applyFont="1"/>
    <xf numFmtId="42" fontId="58" fillId="0" borderId="13" xfId="0" applyNumberFormat="1" applyFont="1" applyBorder="1"/>
    <xf numFmtId="42" fontId="58" fillId="0" borderId="0" xfId="0" applyNumberFormat="1" applyFont="1" applyFill="1" applyBorder="1" applyAlignment="1">
      <alignment horizontal="left"/>
    </xf>
    <xf numFmtId="42" fontId="58" fillId="0" borderId="0" xfId="0" applyNumberFormat="1" applyFont="1"/>
    <xf numFmtId="42" fontId="57" fillId="0" borderId="133" xfId="0" applyNumberFormat="1" applyFont="1" applyBorder="1" applyAlignment="1">
      <alignment horizontal="left" vertical="center"/>
    </xf>
    <xf numFmtId="0" fontId="14" fillId="0" borderId="88" xfId="0" applyFont="1" applyBorder="1" applyAlignment="1">
      <alignment horizontal="left"/>
    </xf>
    <xf numFmtId="42" fontId="0" fillId="0" borderId="113" xfId="0" applyNumberFormat="1" applyBorder="1"/>
    <xf numFmtId="42" fontId="58" fillId="0" borderId="90" xfId="0" applyNumberFormat="1" applyFont="1" applyFill="1" applyBorder="1" applyAlignment="1">
      <alignment horizontal="left"/>
    </xf>
    <xf numFmtId="42" fontId="58" fillId="0" borderId="3" xfId="0" applyNumberFormat="1" applyFont="1" applyBorder="1" applyAlignment="1">
      <alignment horizontal="left"/>
    </xf>
    <xf numFmtId="42" fontId="58" fillId="0" borderId="3" xfId="0" applyNumberFormat="1" applyFont="1" applyFill="1" applyBorder="1" applyAlignment="1">
      <alignment horizontal="left"/>
    </xf>
    <xf numFmtId="42" fontId="58" fillId="0" borderId="3" xfId="0" applyNumberFormat="1" applyFont="1" applyFill="1" applyBorder="1" applyAlignment="1"/>
    <xf numFmtId="42" fontId="58" fillId="0" borderId="102" xfId="0" applyNumberFormat="1" applyFont="1" applyBorder="1" applyAlignment="1">
      <alignment horizontal="left" vertical="center"/>
    </xf>
    <xf numFmtId="42" fontId="58" fillId="0" borderId="6" xfId="0" applyNumberFormat="1" applyFont="1" applyBorder="1" applyAlignment="1">
      <alignment horizontal="left"/>
    </xf>
    <xf numFmtId="42" fontId="58" fillId="0" borderId="24" xfId="0" applyNumberFormat="1" applyFont="1" applyBorder="1" applyAlignment="1">
      <alignment horizontal="left"/>
    </xf>
    <xf numFmtId="42" fontId="58" fillId="0" borderId="24" xfId="0" applyNumberFormat="1" applyFont="1" applyFill="1" applyBorder="1" applyAlignment="1">
      <alignment horizontal="left"/>
    </xf>
    <xf numFmtId="42" fontId="58" fillId="0" borderId="6" xfId="0" applyNumberFormat="1" applyFont="1" applyFill="1" applyBorder="1" applyAlignment="1">
      <alignment horizontal="left"/>
    </xf>
    <xf numFmtId="44" fontId="11" fillId="0" borderId="22" xfId="0" applyNumberFormat="1" applyFont="1" applyBorder="1" applyAlignment="1">
      <alignment horizontal="center" wrapText="1"/>
    </xf>
    <xf numFmtId="0" fontId="0" fillId="0" borderId="89" xfId="0" applyBorder="1" applyAlignment="1">
      <alignment horizontal="center" wrapText="1"/>
    </xf>
    <xf numFmtId="44" fontId="12" fillId="0" borderId="16" xfId="1" applyNumberFormat="1" applyFont="1" applyFill="1" applyBorder="1" applyAlignment="1">
      <alignment horizontal="center"/>
    </xf>
    <xf numFmtId="44" fontId="12" fillId="0" borderId="30" xfId="0" applyNumberFormat="1" applyFont="1" applyFill="1" applyBorder="1"/>
    <xf numFmtId="44" fontId="12" fillId="0" borderId="26" xfId="0" applyNumberFormat="1" applyFont="1" applyFill="1" applyBorder="1"/>
    <xf numFmtId="44" fontId="12" fillId="0" borderId="19" xfId="1" applyFont="1" applyFill="1" applyBorder="1" applyAlignment="1">
      <alignment horizontal="left"/>
    </xf>
    <xf numFmtId="44" fontId="12" fillId="0" borderId="21" xfId="1" applyFont="1" applyFill="1" applyBorder="1"/>
    <xf numFmtId="44" fontId="12" fillId="0" borderId="19" xfId="1" applyNumberFormat="1" applyFont="1" applyFill="1" applyBorder="1" applyAlignment="1">
      <alignment horizontal="center"/>
    </xf>
    <xf numFmtId="44" fontId="27" fillId="0" borderId="16" xfId="1" applyFont="1" applyFill="1" applyBorder="1"/>
    <xf numFmtId="44" fontId="9" fillId="0" borderId="21" xfId="1" applyFont="1" applyFill="1" applyBorder="1" applyAlignment="1">
      <alignment horizontal="center"/>
    </xf>
    <xf numFmtId="44" fontId="12" fillId="0" borderId="40" xfId="0" applyNumberFormat="1" applyFont="1" applyFill="1" applyBorder="1" applyAlignment="1">
      <alignment horizontal="center"/>
    </xf>
    <xf numFmtId="44" fontId="12" fillId="0" borderId="21" xfId="0" applyNumberFormat="1" applyFont="1" applyFill="1" applyBorder="1" applyAlignment="1">
      <alignment horizontal="center"/>
    </xf>
    <xf numFmtId="44" fontId="11" fillId="0" borderId="1" xfId="0" applyNumberFormat="1" applyFont="1" applyFill="1" applyBorder="1"/>
    <xf numFmtId="44" fontId="11" fillId="0" borderId="2" xfId="0" applyNumberFormat="1" applyFont="1" applyFill="1" applyBorder="1"/>
    <xf numFmtId="44" fontId="11" fillId="0" borderId="95" xfId="0" applyNumberFormat="1" applyFont="1" applyFill="1" applyBorder="1"/>
    <xf numFmtId="44" fontId="11" fillId="0" borderId="96" xfId="0" applyNumberFormat="1" applyFont="1" applyFill="1" applyBorder="1"/>
    <xf numFmtId="44" fontId="11" fillId="0" borderId="94" xfId="1" applyFont="1" applyFill="1" applyBorder="1" applyAlignment="1">
      <alignment horizontal="center"/>
    </xf>
    <xf numFmtId="44" fontId="11" fillId="0" borderId="55" xfId="1" applyFont="1" applyFill="1" applyBorder="1" applyAlignment="1">
      <alignment horizontal="center"/>
    </xf>
    <xf numFmtId="44" fontId="9" fillId="0" borderId="30" xfId="0" applyNumberFormat="1" applyFont="1" applyFill="1" applyBorder="1" applyAlignment="1">
      <alignment horizontal="center"/>
    </xf>
    <xf numFmtId="44" fontId="9" fillId="0" borderId="31" xfId="0" applyNumberFormat="1" applyFont="1" applyFill="1" applyBorder="1"/>
    <xf numFmtId="44" fontId="9" fillId="0" borderId="111" xfId="0" applyNumberFormat="1" applyFont="1" applyFill="1" applyBorder="1"/>
    <xf numFmtId="44" fontId="12" fillId="0" borderId="46" xfId="0" applyNumberFormat="1" applyFont="1" applyFill="1" applyBorder="1"/>
    <xf numFmtId="44" fontId="12" fillId="0" borderId="26" xfId="0" applyNumberFormat="1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 vertical="center"/>
    </xf>
    <xf numFmtId="0" fontId="57" fillId="3" borderId="25" xfId="0" applyFont="1" applyFill="1" applyBorder="1" applyAlignment="1">
      <alignment horizontal="center"/>
    </xf>
    <xf numFmtId="44" fontId="11" fillId="9" borderId="1" xfId="0" applyNumberFormat="1" applyFont="1" applyFill="1" applyBorder="1" applyAlignment="1">
      <alignment horizontal="center"/>
    </xf>
    <xf numFmtId="44" fontId="11" fillId="9" borderId="2" xfId="0" applyNumberFormat="1" applyFont="1" applyFill="1" applyBorder="1" applyAlignment="1">
      <alignment horizontal="center"/>
    </xf>
    <xf numFmtId="44" fontId="11" fillId="9" borderId="1" xfId="0" applyNumberFormat="1" applyFont="1" applyFill="1" applyBorder="1"/>
    <xf numFmtId="44" fontId="11" fillId="9" borderId="2" xfId="0" applyNumberFormat="1" applyFont="1" applyFill="1" applyBorder="1"/>
    <xf numFmtId="42" fontId="58" fillId="0" borderId="48" xfId="0" applyNumberFormat="1" applyFont="1" applyBorder="1"/>
    <xf numFmtId="0" fontId="14" fillId="0" borderId="13" xfId="0" applyFont="1" applyBorder="1" applyAlignment="1">
      <alignment vertical="top"/>
    </xf>
    <xf numFmtId="42" fontId="58" fillId="0" borderId="13" xfId="0" applyNumberFormat="1" applyFont="1" applyBorder="1" applyAlignment="1">
      <alignment vertical="center"/>
    </xf>
    <xf numFmtId="42" fontId="58" fillId="0" borderId="8" xfId="0" applyNumberFormat="1" applyFont="1" applyFill="1" applyBorder="1" applyAlignment="1">
      <alignment horizontal="left"/>
    </xf>
    <xf numFmtId="0" fontId="5" fillId="0" borderId="26" xfId="2" applyFont="1" applyBorder="1" applyAlignment="1">
      <alignment horizontal="center"/>
    </xf>
    <xf numFmtId="0" fontId="4" fillId="0" borderId="26" xfId="2" applyFont="1" applyBorder="1" applyAlignment="1"/>
    <xf numFmtId="0" fontId="13" fillId="0" borderId="47" xfId="0" applyFon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0" fontId="41" fillId="0" borderId="0" xfId="0" applyFont="1" applyAlignment="1"/>
    <xf numFmtId="0" fontId="0" fillId="0" borderId="38" xfId="0" applyFill="1" applyBorder="1" applyAlignment="1">
      <alignment horizontal="center"/>
    </xf>
    <xf numFmtId="0" fontId="9" fillId="0" borderId="134" xfId="0" applyFont="1" applyBorder="1" applyAlignment="1">
      <alignment horizontal="center"/>
    </xf>
    <xf numFmtId="0" fontId="21" fillId="0" borderId="135" xfId="0" applyFont="1" applyBorder="1" applyAlignment="1">
      <alignment horizontal="center"/>
    </xf>
    <xf numFmtId="44" fontId="9" fillId="0" borderId="131" xfId="0" applyNumberFormat="1" applyFont="1" applyFill="1" applyBorder="1" applyAlignment="1">
      <alignment horizontal="center"/>
    </xf>
    <xf numFmtId="0" fontId="9" fillId="0" borderId="131" xfId="0" applyFont="1" applyFill="1" applyBorder="1" applyAlignment="1">
      <alignment horizontal="center"/>
    </xf>
    <xf numFmtId="42" fontId="9" fillId="0" borderId="40" xfId="0" applyNumberFormat="1" applyFont="1" applyFill="1" applyBorder="1"/>
    <xf numFmtId="42" fontId="9" fillId="0" borderId="25" xfId="0" applyNumberFormat="1" applyFont="1" applyFill="1" applyBorder="1"/>
    <xf numFmtId="42" fontId="9" fillId="0" borderId="16" xfId="0" applyNumberFormat="1" applyFont="1" applyFill="1" applyBorder="1"/>
    <xf numFmtId="42" fontId="9" fillId="0" borderId="46" xfId="0" applyNumberFormat="1" applyFont="1" applyFill="1" applyBorder="1"/>
    <xf numFmtId="2" fontId="9" fillId="0" borderId="8" xfId="0" applyNumberFormat="1" applyFont="1" applyFill="1" applyBorder="1"/>
    <xf numFmtId="164" fontId="9" fillId="0" borderId="35" xfId="0" applyNumberFormat="1" applyFont="1" applyFill="1" applyBorder="1"/>
    <xf numFmtId="0" fontId="15" fillId="0" borderId="0" xfId="0" applyFont="1" applyFill="1" applyAlignment="1">
      <alignment horizontal="right"/>
    </xf>
    <xf numFmtId="44" fontId="12" fillId="0" borderId="31" xfId="0" applyNumberFormat="1" applyFont="1" applyFill="1" applyBorder="1"/>
    <xf numFmtId="169" fontId="0" fillId="0" borderId="0" xfId="0" applyNumberForma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2" fontId="0" fillId="0" borderId="0" xfId="0" applyNumberFormat="1"/>
    <xf numFmtId="164" fontId="4" fillId="0" borderId="26" xfId="2" applyNumberFormat="1" applyFont="1" applyBorder="1" applyAlignment="1">
      <alignment horizontal="center"/>
    </xf>
    <xf numFmtId="2" fontId="9" fillId="0" borderId="29" xfId="0" applyNumberFormat="1" applyFont="1" applyFill="1" applyBorder="1"/>
    <xf numFmtId="2" fontId="9" fillId="0" borderId="72" xfId="0" applyNumberFormat="1" applyFont="1" applyFill="1" applyBorder="1"/>
    <xf numFmtId="2" fontId="9" fillId="0" borderId="24" xfId="0" applyNumberFormat="1" applyFont="1" applyFill="1" applyBorder="1"/>
    <xf numFmtId="2" fontId="9" fillId="0" borderId="6" xfId="0" applyNumberFormat="1" applyFont="1" applyFill="1" applyBorder="1"/>
    <xf numFmtId="44" fontId="9" fillId="0" borderId="0" xfId="0" applyNumberFormat="1" applyFont="1" applyFill="1" applyAlignment="1">
      <alignment horizontal="center"/>
    </xf>
    <xf numFmtId="43" fontId="15" fillId="0" borderId="0" xfId="0" applyNumberFormat="1" applyFont="1" applyBorder="1"/>
    <xf numFmtId="42" fontId="18" fillId="0" borderId="42" xfId="0" applyNumberFormat="1" applyFont="1" applyFill="1" applyBorder="1" applyAlignment="1">
      <alignment horizontal="center" vertical="center"/>
    </xf>
    <xf numFmtId="0" fontId="18" fillId="0" borderId="7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44" fontId="18" fillId="0" borderId="4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49" fillId="0" borderId="41" xfId="0" applyFont="1" applyBorder="1" applyAlignment="1">
      <alignment horizontal="center" textRotation="90"/>
    </xf>
    <xf numFmtId="164" fontId="15" fillId="0" borderId="0" xfId="0" applyNumberFormat="1" applyFont="1" applyBorder="1" applyAlignment="1">
      <alignment horizontal="center"/>
    </xf>
    <xf numFmtId="44" fontId="11" fillId="0" borderId="20" xfId="0" applyNumberFormat="1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44" fontId="11" fillId="0" borderId="19" xfId="0" applyNumberFormat="1" applyFont="1" applyBorder="1" applyAlignment="1">
      <alignment horizontal="center" wrapText="1"/>
    </xf>
    <xf numFmtId="0" fontId="0" fillId="0" borderId="70" xfId="0" applyBorder="1" applyAlignment="1">
      <alignment horizontal="center" wrapText="1"/>
    </xf>
    <xf numFmtId="0" fontId="33" fillId="5" borderId="47" xfId="0" applyFont="1" applyFill="1" applyBorder="1" applyAlignment="1">
      <alignment horizontal="center" vertical="center"/>
    </xf>
    <xf numFmtId="0" fontId="33" fillId="5" borderId="48" xfId="0" applyFont="1" applyFill="1" applyBorder="1" applyAlignment="1">
      <alignment horizontal="center" vertical="center"/>
    </xf>
    <xf numFmtId="0" fontId="33" fillId="5" borderId="49" xfId="0" applyFont="1" applyFill="1" applyBorder="1" applyAlignment="1">
      <alignment horizontal="center" vertical="center"/>
    </xf>
    <xf numFmtId="44" fontId="9" fillId="0" borderId="54" xfId="0" applyNumberFormat="1" applyFont="1" applyBorder="1" applyAlignment="1">
      <alignment horizontal="center" vertical="center"/>
    </xf>
    <xf numFmtId="44" fontId="9" fillId="0" borderId="75" xfId="0" applyNumberFormat="1" applyFont="1" applyBorder="1" applyAlignment="1">
      <alignment horizontal="center" vertical="center"/>
    </xf>
    <xf numFmtId="44" fontId="11" fillId="0" borderId="54" xfId="0" applyNumberFormat="1" applyFont="1" applyFill="1" applyBorder="1" applyAlignment="1">
      <alignment horizontal="center" vertical="center"/>
    </xf>
    <xf numFmtId="44" fontId="11" fillId="0" borderId="70" xfId="0" applyNumberFormat="1" applyFont="1" applyFill="1" applyBorder="1" applyAlignment="1">
      <alignment horizontal="center" vertical="center"/>
    </xf>
    <xf numFmtId="44" fontId="11" fillId="0" borderId="40" xfId="0" applyNumberFormat="1" applyFont="1" applyFill="1" applyBorder="1" applyAlignment="1">
      <alignment horizontal="center" vertical="center"/>
    </xf>
    <xf numFmtId="44" fontId="11" fillId="0" borderId="75" xfId="0" applyNumberFormat="1" applyFont="1" applyFill="1" applyBorder="1" applyAlignment="1">
      <alignment horizontal="center" vertical="center"/>
    </xf>
    <xf numFmtId="44" fontId="9" fillId="0" borderId="54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44" fontId="9" fillId="0" borderId="40" xfId="0" applyNumberFormat="1" applyFont="1" applyBorder="1" applyAlignment="1">
      <alignment horizontal="center" vertical="center"/>
    </xf>
    <xf numFmtId="0" fontId="9" fillId="0" borderId="122" xfId="0" applyFont="1" applyFill="1" applyBorder="1" applyAlignment="1">
      <alignment horizontal="center" vertical="center" wrapText="1"/>
    </xf>
    <xf numFmtId="0" fontId="9" fillId="0" borderId="123" xfId="0" applyFont="1" applyFill="1" applyBorder="1" applyAlignment="1">
      <alignment horizontal="center" vertical="center" wrapText="1"/>
    </xf>
    <xf numFmtId="0" fontId="9" fillId="0" borderId="12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64" fontId="9" fillId="0" borderId="84" xfId="0" applyNumberFormat="1" applyFont="1" applyBorder="1" applyAlignment="1">
      <alignment horizontal="center"/>
    </xf>
    <xf numFmtId="164" fontId="9" fillId="0" borderId="76" xfId="0" applyNumberFormat="1" applyFont="1" applyBorder="1" applyAlignment="1">
      <alignment horizontal="center"/>
    </xf>
    <xf numFmtId="164" fontId="9" fillId="0" borderId="85" xfId="0" applyNumberFormat="1" applyFont="1" applyBorder="1" applyAlignment="1">
      <alignment horizontal="center"/>
    </xf>
    <xf numFmtId="0" fontId="56" fillId="6" borderId="0" xfId="0" applyFont="1" applyFill="1" applyAlignment="1">
      <alignment horizontal="center" vertical="center" textRotation="90"/>
    </xf>
    <xf numFmtId="0" fontId="21" fillId="0" borderId="136" xfId="0" applyFont="1" applyBorder="1" applyAlignment="1">
      <alignment horizontal="center" vertical="center"/>
    </xf>
    <xf numFmtId="0" fontId="21" fillId="0" borderId="13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26" xfId="0" applyFont="1" applyBorder="1" applyAlignment="1">
      <alignment horizontal="left"/>
    </xf>
    <xf numFmtId="0" fontId="0" fillId="0" borderId="26" xfId="0" applyBorder="1" applyAlignment="1"/>
    <xf numFmtId="0" fontId="18" fillId="3" borderId="25" xfId="0" applyFont="1" applyFill="1" applyBorder="1" applyAlignment="1">
      <alignment horizontal="center" vertical="center"/>
    </xf>
  </cellXfs>
  <cellStyles count="6">
    <cellStyle name="Currency" xfId="1" builtinId="4"/>
    <cellStyle name="Normal" xfId="0" builtinId="0"/>
    <cellStyle name="Normal 2" xfId="2"/>
    <cellStyle name="Normal 3" xfId="3"/>
    <cellStyle name="Percent 2" xfId="4"/>
    <cellStyle name="Percent 3" xfId="5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/>
  <cols>
    <col min="1" max="1" width="11.28515625" style="25" bestFit="1" customWidth="1"/>
    <col min="2" max="2" width="30.28515625" bestFit="1" customWidth="1"/>
    <col min="3" max="3" width="3" customWidth="1"/>
    <col min="4" max="4" width="14.42578125" style="867" customWidth="1"/>
    <col min="5" max="5" width="3" customWidth="1"/>
    <col min="6" max="6" width="14.42578125" style="405" bestFit="1" customWidth="1"/>
    <col min="7" max="7" width="3" customWidth="1"/>
    <col min="8" max="8" width="9.5703125" bestFit="1" customWidth="1"/>
    <col min="9" max="9" width="10.28515625" bestFit="1" customWidth="1"/>
  </cols>
  <sheetData>
    <row r="1" spans="1:10" ht="33" customHeight="1">
      <c r="A1" s="191">
        <v>2017</v>
      </c>
      <c r="B1" s="409" t="s">
        <v>535</v>
      </c>
      <c r="C1" s="859"/>
      <c r="D1" s="866" t="s">
        <v>686</v>
      </c>
      <c r="E1" s="11"/>
      <c r="F1" s="851" t="s">
        <v>687</v>
      </c>
      <c r="H1" s="674"/>
      <c r="I1" s="935"/>
      <c r="J1" s="936"/>
    </row>
    <row r="2" spans="1:10" ht="12.75" customHeight="1">
      <c r="A2" s="78">
        <v>407</v>
      </c>
      <c r="B2" s="79" t="s">
        <v>239</v>
      </c>
      <c r="C2" s="860"/>
      <c r="D2" s="868">
        <v>8700</v>
      </c>
      <c r="E2" s="738"/>
      <c r="F2" s="833">
        <f>REVENUE!H4</f>
        <v>8100</v>
      </c>
      <c r="H2" s="934"/>
      <c r="I2" s="279"/>
    </row>
    <row r="3" spans="1:10" ht="12.6" customHeight="1">
      <c r="A3" s="78">
        <v>410</v>
      </c>
      <c r="B3" s="79" t="s">
        <v>238</v>
      </c>
      <c r="C3" s="860"/>
      <c r="D3" s="868">
        <v>2326969</v>
      </c>
      <c r="E3" s="738"/>
      <c r="F3" s="834">
        <f>REVENUE!I5</f>
        <v>2881843.0970000001</v>
      </c>
      <c r="H3" s="934"/>
      <c r="I3" s="279"/>
      <c r="J3" s="269"/>
    </row>
    <row r="4" spans="1:10" ht="12.6" customHeight="1">
      <c r="A4" s="78">
        <v>415</v>
      </c>
      <c r="B4" s="79" t="s">
        <v>23</v>
      </c>
      <c r="C4" s="860"/>
      <c r="D4" s="868">
        <v>2191383</v>
      </c>
      <c r="E4" s="738"/>
      <c r="F4" s="834">
        <f>REVENUE!H8</f>
        <v>2487038.3200000003</v>
      </c>
      <c r="H4" s="934"/>
      <c r="I4" s="279"/>
    </row>
    <row r="5" spans="1:10" ht="12.6" customHeight="1">
      <c r="A5" s="78" t="s">
        <v>281</v>
      </c>
      <c r="B5" s="79" t="s">
        <v>282</v>
      </c>
      <c r="C5" s="860"/>
      <c r="D5" s="868">
        <v>11700</v>
      </c>
      <c r="E5" s="738"/>
      <c r="F5" s="834">
        <f>REVENUE!I9</f>
        <v>13600</v>
      </c>
      <c r="H5" s="934"/>
      <c r="I5" s="279"/>
      <c r="J5" s="269"/>
    </row>
    <row r="6" spans="1:10" ht="12.6" customHeight="1">
      <c r="A6" s="78" t="s">
        <v>71</v>
      </c>
      <c r="B6" s="79" t="s">
        <v>72</v>
      </c>
      <c r="C6" s="860"/>
      <c r="D6" s="868">
        <v>168200</v>
      </c>
      <c r="E6" s="738"/>
      <c r="F6" s="834">
        <f>REVENUE!I12</f>
        <v>134400</v>
      </c>
      <c r="H6" s="934"/>
      <c r="I6" s="279"/>
      <c r="J6" s="269"/>
    </row>
    <row r="7" spans="1:10" ht="12.6" hidden="1" customHeight="1">
      <c r="A7" s="78">
        <v>475</v>
      </c>
      <c r="B7" s="79" t="s">
        <v>73</v>
      </c>
      <c r="C7" s="860"/>
      <c r="D7" s="868"/>
      <c r="E7" s="738"/>
      <c r="F7" s="834">
        <f>REVENUE!H15</f>
        <v>0</v>
      </c>
      <c r="H7" s="934"/>
      <c r="I7" s="279"/>
    </row>
    <row r="8" spans="1:10" ht="12.6" customHeight="1">
      <c r="A8" s="78" t="s">
        <v>74</v>
      </c>
      <c r="B8" s="79" t="s">
        <v>75</v>
      </c>
      <c r="C8" s="860"/>
      <c r="D8" s="868">
        <v>2500</v>
      </c>
      <c r="E8" s="738"/>
      <c r="F8" s="834">
        <f>REVENUE!I16</f>
        <v>2500</v>
      </c>
      <c r="H8" s="934"/>
      <c r="I8" s="279"/>
    </row>
    <row r="9" spans="1:10" ht="12.6" customHeight="1">
      <c r="A9" s="847" t="s">
        <v>375</v>
      </c>
      <c r="B9" s="503" t="s">
        <v>76</v>
      </c>
      <c r="C9" s="860"/>
      <c r="D9" s="868">
        <v>807000</v>
      </c>
      <c r="E9" s="738"/>
      <c r="F9" s="834">
        <f>REVENUE!I18</f>
        <v>697000</v>
      </c>
      <c r="H9" s="934"/>
      <c r="I9" s="279"/>
      <c r="J9" s="269"/>
    </row>
    <row r="10" spans="1:10" ht="3" customHeight="1">
      <c r="A10" s="849"/>
      <c r="B10" s="850"/>
      <c r="C10" s="100"/>
      <c r="D10" s="912"/>
      <c r="E10" s="836"/>
      <c r="F10" s="848"/>
      <c r="H10" s="934"/>
      <c r="I10" s="279"/>
    </row>
    <row r="11" spans="1:10" s="408" customFormat="1" ht="20.25" customHeight="1">
      <c r="A11" s="406"/>
      <c r="B11" s="407" t="s">
        <v>122</v>
      </c>
      <c r="C11" s="913"/>
      <c r="D11" s="914">
        <f>SUM(D2:D10)</f>
        <v>5516452</v>
      </c>
      <c r="E11" s="846"/>
      <c r="F11" s="845">
        <f>SUM(F2:F10)</f>
        <v>6224481.4170000004</v>
      </c>
      <c r="H11" s="934"/>
      <c r="I11" s="279"/>
    </row>
    <row r="12" spans="1:10" ht="22.5" customHeight="1" thickBot="1">
      <c r="A12" s="404" t="s">
        <v>372</v>
      </c>
      <c r="B12" s="280" t="s">
        <v>242</v>
      </c>
      <c r="C12" s="861"/>
      <c r="D12" s="871"/>
      <c r="E12" s="738"/>
      <c r="F12" s="835"/>
      <c r="H12" s="934"/>
      <c r="I12" s="279"/>
    </row>
    <row r="13" spans="1:10" ht="12.6" customHeight="1">
      <c r="A13" s="81">
        <v>501</v>
      </c>
      <c r="B13" s="82" t="s">
        <v>106</v>
      </c>
      <c r="C13" s="862"/>
      <c r="D13" s="874">
        <v>20871</v>
      </c>
      <c r="E13" s="836"/>
      <c r="F13" s="837">
        <f>'501 PROPERTY TAX FEES'!G12</f>
        <v>21658.559999999998</v>
      </c>
      <c r="H13" s="934"/>
      <c r="I13" s="279"/>
    </row>
    <row r="14" spans="1:10" ht="12.6" customHeight="1">
      <c r="A14" s="83">
        <v>502</v>
      </c>
      <c r="B14" s="80" t="s">
        <v>179</v>
      </c>
      <c r="C14" s="863"/>
      <c r="D14" s="875">
        <v>43828</v>
      </c>
      <c r="E14" s="836"/>
      <c r="F14" s="838">
        <f>'502 SALES TAX COLLECTION COSTS'!G12</f>
        <v>49740.766400000008</v>
      </c>
      <c r="H14" s="934"/>
      <c r="I14" s="279"/>
    </row>
    <row r="15" spans="1:10" ht="12.6" customHeight="1">
      <c r="A15" s="84">
        <v>503</v>
      </c>
      <c r="B15" s="85" t="s">
        <v>130</v>
      </c>
      <c r="C15" s="863"/>
      <c r="D15" s="880">
        <v>26180</v>
      </c>
      <c r="E15" s="836"/>
      <c r="F15" s="839">
        <f>'503 SUNSET VALLEY'!G11</f>
        <v>28798.000000000004</v>
      </c>
      <c r="H15" s="934"/>
      <c r="I15" s="279"/>
      <c r="J15" s="269"/>
    </row>
    <row r="16" spans="1:10" ht="12.6" customHeight="1">
      <c r="A16" s="86">
        <v>601</v>
      </c>
      <c r="B16" s="87" t="s">
        <v>234</v>
      </c>
      <c r="C16" s="863"/>
      <c r="D16" s="879">
        <v>905900</v>
      </c>
      <c r="E16" s="836"/>
      <c r="F16" s="840">
        <f>'601 APPARATUS PMTS.'!G14+'601 APPARATUS PMTS.'!H14</f>
        <v>695000</v>
      </c>
      <c r="H16" s="934"/>
      <c r="I16" s="279"/>
      <c r="J16" s="269"/>
    </row>
    <row r="17" spans="1:10" ht="12.6" customHeight="1">
      <c r="A17" s="83">
        <v>602</v>
      </c>
      <c r="B17" s="88" t="s">
        <v>124</v>
      </c>
      <c r="C17" s="862"/>
      <c r="D17" s="876">
        <v>1260</v>
      </c>
      <c r="E17" s="836"/>
      <c r="F17" s="841">
        <f>'602 ALPHA PAGERS'!G11</f>
        <v>1260</v>
      </c>
      <c r="H17" s="934"/>
      <c r="I17" s="279"/>
    </row>
    <row r="18" spans="1:10" ht="12.6" customHeight="1">
      <c r="A18" s="83">
        <v>603</v>
      </c>
      <c r="B18" s="88" t="s">
        <v>219</v>
      </c>
      <c r="C18" s="862"/>
      <c r="D18" s="876">
        <v>137831</v>
      </c>
      <c r="E18" s="836"/>
      <c r="F18" s="842">
        <f>'603 DISPATCH &amp; COMM'!G18</f>
        <v>181453</v>
      </c>
      <c r="H18" s="934"/>
      <c r="I18" s="279"/>
      <c r="J18" s="269"/>
    </row>
    <row r="19" spans="1:10" ht="12.6" customHeight="1">
      <c r="A19" s="78">
        <v>604</v>
      </c>
      <c r="B19" s="80" t="s">
        <v>123</v>
      </c>
      <c r="C19" s="863"/>
      <c r="D19" s="875">
        <v>30000</v>
      </c>
      <c r="E19" s="836"/>
      <c r="F19" s="842">
        <f>'604 FUEL'!G9</f>
        <v>30000</v>
      </c>
      <c r="H19" s="934"/>
      <c r="I19" s="279"/>
    </row>
    <row r="20" spans="1:10" ht="12.6" customHeight="1">
      <c r="A20" s="83">
        <v>605</v>
      </c>
      <c r="B20" s="89" t="s">
        <v>193</v>
      </c>
      <c r="C20" s="864"/>
      <c r="D20" s="877">
        <v>101710</v>
      </c>
      <c r="E20" s="836"/>
      <c r="F20" s="842">
        <f>'605 SCBA'!G23</f>
        <v>70177</v>
      </c>
      <c r="H20" s="934"/>
      <c r="I20" s="279"/>
      <c r="J20" s="269"/>
    </row>
    <row r="21" spans="1:10" ht="12.6" customHeight="1">
      <c r="A21" s="83">
        <v>606</v>
      </c>
      <c r="B21" s="89" t="s">
        <v>118</v>
      </c>
      <c r="C21" s="864"/>
      <c r="D21" s="877">
        <v>92100</v>
      </c>
      <c r="E21" s="836"/>
      <c r="F21" s="842">
        <f>'606 VEH MTN REP'!G23</f>
        <v>98200</v>
      </c>
      <c r="H21" s="934"/>
      <c r="I21" s="279"/>
    </row>
    <row r="22" spans="1:10" ht="12.6" customHeight="1">
      <c r="A22" s="83">
        <v>608</v>
      </c>
      <c r="B22" s="88" t="s">
        <v>220</v>
      </c>
      <c r="C22" s="862"/>
      <c r="D22" s="876">
        <v>102450</v>
      </c>
      <c r="E22" s="836"/>
      <c r="F22" s="842">
        <f>'608 VEHICLE SUPPLIES'!G29</f>
        <v>84200</v>
      </c>
      <c r="H22" s="934"/>
      <c r="I22" s="279"/>
      <c r="J22" s="269"/>
    </row>
    <row r="23" spans="1:10" ht="12.6" customHeight="1">
      <c r="A23" s="83">
        <v>609</v>
      </c>
      <c r="B23" s="88" t="s">
        <v>174</v>
      </c>
      <c r="C23" s="862"/>
      <c r="D23" s="876">
        <v>67467</v>
      </c>
      <c r="E23" s="279"/>
      <c r="F23" s="842">
        <f>'609 UNIFORMS &amp; PROTECTIVE GEAR'!G12</f>
        <v>125521.8</v>
      </c>
      <c r="H23" s="934"/>
      <c r="I23" s="279"/>
      <c r="J23" s="269"/>
    </row>
    <row r="24" spans="1:10" ht="12.6" customHeight="1">
      <c r="A24" s="83">
        <v>611</v>
      </c>
      <c r="B24" s="88" t="s">
        <v>702</v>
      </c>
      <c r="C24" s="862"/>
      <c r="D24" s="876">
        <f>'611 EMS SUPPLIES'!F13</f>
        <v>6025</v>
      </c>
      <c r="E24" s="279"/>
      <c r="F24" s="842">
        <f>'611 EMS SUPPLIES'!G13</f>
        <v>24025</v>
      </c>
      <c r="H24" s="934"/>
      <c r="I24" s="279"/>
      <c r="J24" s="269"/>
    </row>
    <row r="25" spans="1:10" ht="12.6" customHeight="1">
      <c r="A25" s="84">
        <v>612</v>
      </c>
      <c r="B25" s="90" t="s">
        <v>701</v>
      </c>
      <c r="C25" s="862"/>
      <c r="D25" s="915">
        <f>'612 REHAB SUPPLIES'!F10</f>
        <v>650</v>
      </c>
      <c r="E25" s="279"/>
      <c r="F25" s="839">
        <f>'612 REHAB SUPPLIES'!G10</f>
        <v>800</v>
      </c>
      <c r="H25" s="934"/>
      <c r="I25" s="279"/>
    </row>
    <row r="26" spans="1:10" ht="12.6" customHeight="1">
      <c r="A26" s="84">
        <v>613</v>
      </c>
      <c r="B26" s="90" t="s">
        <v>243</v>
      </c>
      <c r="C26" s="862"/>
      <c r="D26" s="881">
        <v>19500</v>
      </c>
      <c r="E26" s="279"/>
      <c r="F26" s="839">
        <f>'613 AUTO INSURANCE'!G8</f>
        <v>19500</v>
      </c>
      <c r="H26" s="934"/>
      <c r="I26" s="279"/>
    </row>
    <row r="27" spans="1:10" ht="12.6" customHeight="1">
      <c r="A27" s="91">
        <v>632</v>
      </c>
      <c r="B27" s="87" t="s">
        <v>194</v>
      </c>
      <c r="C27" s="863"/>
      <c r="D27" s="879">
        <v>73400</v>
      </c>
      <c r="E27" s="279"/>
      <c r="F27" s="840">
        <f>'632 FIRE &amp; RESCUE TRAINING'!G32</f>
        <v>84500</v>
      </c>
      <c r="H27" s="934"/>
      <c r="I27" s="279"/>
      <c r="J27" s="269"/>
    </row>
    <row r="28" spans="1:10" ht="12.6" customHeight="1">
      <c r="A28" s="83">
        <v>633</v>
      </c>
      <c r="B28" s="88" t="s">
        <v>177</v>
      </c>
      <c r="C28" s="862"/>
      <c r="D28" s="876">
        <v>39200</v>
      </c>
      <c r="E28" s="279"/>
      <c r="F28" s="842">
        <f>'633 SEMINARS &amp; CONFERENCES'!G22</f>
        <v>45420</v>
      </c>
      <c r="H28" s="934"/>
      <c r="I28" s="279"/>
      <c r="J28" s="269"/>
    </row>
    <row r="29" spans="1:10" ht="12.6" customHeight="1">
      <c r="A29" s="84">
        <v>634</v>
      </c>
      <c r="B29" s="90" t="s">
        <v>700</v>
      </c>
      <c r="C29" s="862"/>
      <c r="D29" s="876">
        <f>'634 FIRE ACADEMY'!F31</f>
        <v>58800</v>
      </c>
      <c r="E29" s="279"/>
      <c r="F29" s="839">
        <f>'634 FIRE ACADEMY'!G31</f>
        <v>49400</v>
      </c>
      <c r="H29" s="934"/>
      <c r="I29" s="279"/>
      <c r="J29" s="269"/>
    </row>
    <row r="30" spans="1:10" ht="12.6" customHeight="1">
      <c r="A30" s="84">
        <v>635</v>
      </c>
      <c r="B30" s="90" t="s">
        <v>699</v>
      </c>
      <c r="C30" s="862"/>
      <c r="D30" s="915">
        <f>'635 EMT CERT COURSE'!F19</f>
        <v>11200</v>
      </c>
      <c r="E30" s="279"/>
      <c r="F30" s="839">
        <f>'635 EMT CERT COURSE'!G19</f>
        <v>13800</v>
      </c>
      <c r="H30" s="934"/>
      <c r="I30" s="279"/>
      <c r="J30" s="269"/>
    </row>
    <row r="31" spans="1:10" ht="12.6" customHeight="1">
      <c r="A31" s="93">
        <v>636</v>
      </c>
      <c r="B31" s="94" t="s">
        <v>378</v>
      </c>
      <c r="C31" s="862"/>
      <c r="D31" s="881">
        <v>2600</v>
      </c>
      <c r="E31" s="279"/>
      <c r="F31" s="839">
        <f>'636 VENDING MACHINES'!F12</f>
        <v>2600</v>
      </c>
      <c r="H31" s="934"/>
      <c r="I31" s="279"/>
    </row>
    <row r="32" spans="1:10" ht="12.6" customHeight="1">
      <c r="A32" s="81">
        <v>641</v>
      </c>
      <c r="B32" s="82" t="s">
        <v>176</v>
      </c>
      <c r="C32" s="862"/>
      <c r="D32" s="882">
        <v>844957</v>
      </c>
      <c r="E32" s="279"/>
      <c r="F32" s="840">
        <f>'641 BENEFITS'!F27</f>
        <v>893886.29711932887</v>
      </c>
      <c r="H32" s="934"/>
      <c r="I32" s="279"/>
    </row>
    <row r="33" spans="1:10" ht="12.6" customHeight="1">
      <c r="A33" s="83">
        <v>642</v>
      </c>
      <c r="B33" s="88" t="s">
        <v>552</v>
      </c>
      <c r="C33" s="862"/>
      <c r="D33" s="876">
        <v>2197307</v>
      </c>
      <c r="E33" s="279"/>
      <c r="F33" s="843">
        <f>'642 PAYROLL'!K50</f>
        <v>2285521.6970000002</v>
      </c>
      <c r="H33" s="934"/>
      <c r="I33" s="279"/>
    </row>
    <row r="34" spans="1:10" ht="12.6" customHeight="1">
      <c r="A34" s="83">
        <v>643</v>
      </c>
      <c r="B34" s="88" t="s">
        <v>45</v>
      </c>
      <c r="C34" s="862"/>
      <c r="D34" s="876">
        <v>3500</v>
      </c>
      <c r="E34" s="279"/>
      <c r="F34" s="842">
        <f>'643 RECOGNITION'!G14</f>
        <v>3700</v>
      </c>
      <c r="H34" s="934"/>
      <c r="I34" s="279"/>
      <c r="J34" s="269"/>
    </row>
    <row r="35" spans="1:10" ht="12.6" customHeight="1">
      <c r="A35" s="83">
        <v>644</v>
      </c>
      <c r="B35" s="88" t="s">
        <v>77</v>
      </c>
      <c r="C35" s="862"/>
      <c r="D35" s="876">
        <v>13175</v>
      </c>
      <c r="E35" s="279"/>
      <c r="F35" s="839">
        <f>'644 CERTIFICATIONS'!G22</f>
        <v>13175</v>
      </c>
      <c r="H35" s="934"/>
      <c r="I35" s="279"/>
    </row>
    <row r="36" spans="1:10" ht="11.25" customHeight="1">
      <c r="A36" s="93">
        <v>645</v>
      </c>
      <c r="B36" s="94" t="s">
        <v>107</v>
      </c>
      <c r="C36" s="862"/>
      <c r="D36" s="881">
        <v>300</v>
      </c>
      <c r="E36" s="279"/>
      <c r="F36" s="839">
        <f>'645 RECRUITMENT'!G18</f>
        <v>400</v>
      </c>
      <c r="H36" s="934"/>
      <c r="I36" s="279"/>
      <c r="J36" s="269"/>
    </row>
    <row r="37" spans="1:10" ht="12.6" customHeight="1">
      <c r="A37" s="91">
        <v>651</v>
      </c>
      <c r="B37" s="92" t="s">
        <v>175</v>
      </c>
      <c r="C37" s="862"/>
      <c r="D37" s="882">
        <v>87400</v>
      </c>
      <c r="E37" s="279"/>
      <c r="F37" s="840">
        <f>'651 BLDG GROUND MAINT'!G31</f>
        <v>102200</v>
      </c>
      <c r="H37" s="934"/>
      <c r="I37" s="279"/>
      <c r="J37" s="269"/>
    </row>
    <row r="38" spans="1:10" ht="12.6" customHeight="1">
      <c r="A38" s="83">
        <v>652</v>
      </c>
      <c r="B38" s="88" t="s">
        <v>171</v>
      </c>
      <c r="C38" s="862"/>
      <c r="D38" s="876">
        <v>10596</v>
      </c>
      <c r="E38" s="279"/>
      <c r="F38" s="842">
        <f>'652 OFFICE SUPPLIES'!G20</f>
        <v>10945.6</v>
      </c>
      <c r="H38" s="934"/>
      <c r="I38" s="279"/>
    </row>
    <row r="39" spans="1:10" ht="12.6" customHeight="1">
      <c r="A39" s="83">
        <v>653</v>
      </c>
      <c r="B39" s="88" t="s">
        <v>180</v>
      </c>
      <c r="C39" s="862"/>
      <c r="D39" s="876">
        <v>10900</v>
      </c>
      <c r="E39" s="836"/>
      <c r="F39" s="842">
        <f>'653 STATION SUPPLIES'!G16</f>
        <v>10900</v>
      </c>
      <c r="H39" s="934"/>
      <c r="I39" s="279"/>
    </row>
    <row r="40" spans="1:10" ht="12.6" customHeight="1">
      <c r="A40" s="83">
        <v>654</v>
      </c>
      <c r="B40" s="88" t="s">
        <v>128</v>
      </c>
      <c r="C40" s="862"/>
      <c r="D40" s="876">
        <v>3445</v>
      </c>
      <c r="E40" s="836"/>
      <c r="F40" s="842">
        <f>'654 BANK FEES'!G13</f>
        <v>1095</v>
      </c>
      <c r="H40" s="934"/>
      <c r="I40" s="279"/>
      <c r="J40" s="269"/>
    </row>
    <row r="41" spans="1:10" ht="12.6" customHeight="1">
      <c r="A41" s="83">
        <v>655</v>
      </c>
      <c r="B41" s="88" t="s">
        <v>178</v>
      </c>
      <c r="C41" s="862"/>
      <c r="D41" s="876">
        <v>3735</v>
      </c>
      <c r="E41" s="836"/>
      <c r="F41" s="842">
        <f>'655 DUES AND SUBSCRIPTIONS'!G24</f>
        <v>4399</v>
      </c>
      <c r="H41" s="934"/>
      <c r="I41" s="279"/>
      <c r="J41" s="269"/>
    </row>
    <row r="42" spans="1:10" ht="12.6" customHeight="1">
      <c r="A42" s="83">
        <v>656</v>
      </c>
      <c r="B42" s="88" t="s">
        <v>129</v>
      </c>
      <c r="C42" s="862"/>
      <c r="D42" s="876">
        <v>17800</v>
      </c>
      <c r="E42" s="836"/>
      <c r="F42" s="842">
        <f>'656 INFORMATION TECHNOLOGY'!G23</f>
        <v>16500</v>
      </c>
      <c r="H42" s="934"/>
      <c r="I42" s="279"/>
      <c r="J42" s="269"/>
    </row>
    <row r="43" spans="1:10" ht="12.6" customHeight="1">
      <c r="A43" s="83">
        <v>657</v>
      </c>
      <c r="B43" s="88" t="s">
        <v>127</v>
      </c>
      <c r="C43" s="862"/>
      <c r="D43" s="876">
        <v>875</v>
      </c>
      <c r="E43" s="836"/>
      <c r="F43" s="842">
        <f>'657 POSTAGE'!G13</f>
        <v>875</v>
      </c>
      <c r="H43" s="934"/>
      <c r="I43" s="279"/>
    </row>
    <row r="44" spans="1:10" ht="12.6" customHeight="1">
      <c r="A44" s="83">
        <v>658</v>
      </c>
      <c r="B44" s="88" t="s">
        <v>235</v>
      </c>
      <c r="C44" s="862"/>
      <c r="D44" s="876">
        <v>31170</v>
      </c>
      <c r="E44" s="836"/>
      <c r="F44" s="842">
        <f>'658 PROP &amp; LIABILITY'!G16</f>
        <v>33600</v>
      </c>
      <c r="H44" s="934"/>
      <c r="I44" s="279"/>
    </row>
    <row r="45" spans="1:10" ht="12.6" customHeight="1">
      <c r="A45" s="83">
        <v>659</v>
      </c>
      <c r="B45" s="88" t="s">
        <v>208</v>
      </c>
      <c r="C45" s="862"/>
      <c r="D45" s="876">
        <v>32500</v>
      </c>
      <c r="E45" s="836"/>
      <c r="F45" s="842">
        <f>'659 PROFESSIONAL SVCS'!G14</f>
        <v>32000</v>
      </c>
      <c r="H45" s="934"/>
      <c r="I45" s="279"/>
    </row>
    <row r="46" spans="1:10" ht="12.6" customHeight="1">
      <c r="A46" s="83">
        <v>660</v>
      </c>
      <c r="B46" s="88" t="s">
        <v>209</v>
      </c>
      <c r="C46" s="862"/>
      <c r="D46" s="876">
        <v>8750</v>
      </c>
      <c r="E46" s="836"/>
      <c r="F46" s="842">
        <f>'660 PUBLIC NOTICES'!G13</f>
        <v>7500</v>
      </c>
      <c r="H46" s="934"/>
      <c r="I46" s="279"/>
      <c r="J46" s="269"/>
    </row>
    <row r="47" spans="1:10" ht="12.6" customHeight="1">
      <c r="A47" s="83">
        <v>661</v>
      </c>
      <c r="B47" s="88" t="s">
        <v>125</v>
      </c>
      <c r="C47" s="862"/>
      <c r="D47" s="876">
        <v>14915</v>
      </c>
      <c r="E47" s="836"/>
      <c r="F47" s="842">
        <f>'661 TELEPHONE'!G12</f>
        <v>8200</v>
      </c>
      <c r="H47" s="934"/>
      <c r="I47" s="279"/>
      <c r="J47" s="269"/>
    </row>
    <row r="48" spans="1:10" ht="12.6" customHeight="1">
      <c r="A48" s="83">
        <v>662</v>
      </c>
      <c r="B48" s="88" t="s">
        <v>126</v>
      </c>
      <c r="C48" s="862"/>
      <c r="D48" s="876">
        <v>73440</v>
      </c>
      <c r="E48" s="836"/>
      <c r="F48" s="842">
        <f>'662 UTILITIES'!G17</f>
        <v>73439.64</v>
      </c>
      <c r="H48" s="934"/>
      <c r="I48" s="279"/>
    </row>
    <row r="49" spans="1:10" ht="12.6" customHeight="1">
      <c r="A49" s="83">
        <v>663</v>
      </c>
      <c r="B49" s="88" t="s">
        <v>136</v>
      </c>
      <c r="C49" s="862"/>
      <c r="D49" s="876">
        <v>349050</v>
      </c>
      <c r="E49" s="836"/>
      <c r="F49" s="842">
        <f>'663 BOND DEBT SVC'!G15</f>
        <v>343450</v>
      </c>
      <c r="H49" s="934"/>
      <c r="I49" s="279"/>
    </row>
    <row r="50" spans="1:10" ht="12.6" customHeight="1">
      <c r="A50" s="83">
        <v>664</v>
      </c>
      <c r="B50" s="88" t="s">
        <v>210</v>
      </c>
      <c r="C50" s="862"/>
      <c r="D50" s="876">
        <v>4000</v>
      </c>
      <c r="E50" s="836"/>
      <c r="F50" s="839">
        <f>'664 TCESD COMPENSATION'!G11</f>
        <v>4000</v>
      </c>
      <c r="H50" s="934"/>
      <c r="I50" s="279"/>
    </row>
    <row r="51" spans="1:10">
      <c r="A51" s="83">
        <v>665</v>
      </c>
      <c r="B51" s="88" t="s">
        <v>27</v>
      </c>
      <c r="C51" s="862"/>
      <c r="D51" s="876">
        <v>7500</v>
      </c>
      <c r="E51" s="836"/>
      <c r="F51" s="842">
        <f>'665 GRANT MATCHING'!G13</f>
        <v>27500</v>
      </c>
      <c r="H51" s="934"/>
      <c r="I51" s="279"/>
      <c r="J51" s="269"/>
    </row>
    <row r="52" spans="1:10" ht="12.6" customHeight="1">
      <c r="A52" s="83">
        <v>671</v>
      </c>
      <c r="B52" s="88" t="s">
        <v>108</v>
      </c>
      <c r="C52" s="862"/>
      <c r="D52" s="876">
        <v>950</v>
      </c>
      <c r="E52" s="836"/>
      <c r="F52" s="842">
        <f>'671 PREVENTION'!G17</f>
        <v>800</v>
      </c>
      <c r="H52" s="934"/>
      <c r="I52" s="279"/>
      <c r="J52" s="269"/>
    </row>
    <row r="53" spans="1:10" ht="12.6" customHeight="1">
      <c r="A53" s="83">
        <v>672</v>
      </c>
      <c r="B53" s="88" t="s">
        <v>222</v>
      </c>
      <c r="C53" s="862"/>
      <c r="D53" s="876">
        <v>10900</v>
      </c>
      <c r="E53" s="836"/>
      <c r="F53" s="842">
        <f>'672 PUBLIC EDUCATION'!G15</f>
        <v>11200</v>
      </c>
      <c r="H53" s="934"/>
      <c r="I53" s="279"/>
    </row>
    <row r="54" spans="1:10" ht="17.25" customHeight="1" thickBot="1">
      <c r="A54" s="189"/>
      <c r="B54" s="190" t="s">
        <v>131</v>
      </c>
      <c r="C54" s="872"/>
      <c r="D54" s="878">
        <f>SUM(D13:D53)</f>
        <v>5468137</v>
      </c>
      <c r="E54" s="873"/>
      <c r="F54" s="739">
        <f>SUM(F13:F53)</f>
        <v>5511341.3605193282</v>
      </c>
      <c r="H54" s="934"/>
      <c r="I54" s="279"/>
    </row>
    <row r="55" spans="1:10" ht="13.5" hidden="1" thickTop="1">
      <c r="B55" s="21" t="s">
        <v>244</v>
      </c>
      <c r="C55" s="865"/>
      <c r="D55" s="869"/>
      <c r="E55" s="836"/>
      <c r="F55" s="279"/>
      <c r="H55" s="934"/>
      <c r="I55" s="279"/>
    </row>
    <row r="56" spans="1:10" ht="8.25" customHeight="1" thickTop="1">
      <c r="D56" s="870"/>
      <c r="E56" s="836"/>
      <c r="F56" s="279"/>
      <c r="H56" s="934"/>
      <c r="I56" s="279"/>
    </row>
    <row r="57" spans="1:10" ht="15">
      <c r="D57" s="844"/>
      <c r="E57" s="844"/>
      <c r="F57" s="844"/>
      <c r="H57" s="934"/>
      <c r="I57" s="279"/>
    </row>
    <row r="58" spans="1:10">
      <c r="E58" s="836"/>
      <c r="F58" s="279"/>
    </row>
    <row r="59" spans="1:10">
      <c r="E59" s="836"/>
      <c r="F59" s="279"/>
    </row>
    <row r="60" spans="1:10">
      <c r="E60" s="279"/>
      <c r="F60" s="279"/>
    </row>
    <row r="61" spans="1:10">
      <c r="E61" s="279"/>
      <c r="F61" s="279"/>
    </row>
  </sheetData>
  <phoneticPr fontId="19" type="noConversion"/>
  <printOptions horizontalCentered="1"/>
  <pageMargins left="0.5" right="0.25" top="0.5" bottom="0.25" header="0" footer="0"/>
  <pageSetup scale="83" orientation="landscape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0.5703125" style="105" customWidth="1"/>
    <col min="2" max="3" width="11.7109375" style="27" hidden="1" customWidth="1"/>
    <col min="4" max="4" width="11.7109375" style="27" customWidth="1"/>
    <col min="5" max="5" width="11.42578125" style="27" customWidth="1"/>
    <col min="6" max="6" width="11.85546875" style="27" customWidth="1"/>
    <col min="7" max="7" width="12" style="27" bestFit="1" customWidth="1"/>
    <col min="8" max="16384" width="9.140625" style="27"/>
  </cols>
  <sheetData>
    <row r="1" spans="1:7" s="48" customFormat="1" ht="18.75" customHeight="1">
      <c r="A1" s="784" t="s">
        <v>211</v>
      </c>
      <c r="B1" s="202"/>
      <c r="C1" s="202"/>
      <c r="D1" s="202"/>
      <c r="E1" s="217"/>
      <c r="F1" s="217"/>
      <c r="G1" s="217"/>
    </row>
    <row r="2" spans="1:7" ht="18.75" customHeight="1">
      <c r="A2" s="134"/>
      <c r="B2" s="106"/>
      <c r="C2" s="106"/>
      <c r="D2" s="106"/>
      <c r="E2" s="51"/>
      <c r="F2" s="51"/>
      <c r="G2" s="51"/>
    </row>
    <row r="3" spans="1:7" s="48" customFormat="1" ht="18.75" customHeight="1">
      <c r="A3" s="37" t="s">
        <v>133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8.75" customHeight="1">
      <c r="A4" s="139"/>
      <c r="B4" s="109"/>
      <c r="C4" s="122"/>
      <c r="D4" s="122"/>
      <c r="E4" s="122"/>
      <c r="F4" s="122"/>
      <c r="G4" s="122"/>
    </row>
    <row r="5" spans="1:7" s="48" customFormat="1" ht="17.100000000000001" customHeight="1">
      <c r="A5" s="39" t="s">
        <v>156</v>
      </c>
      <c r="B5" s="44">
        <v>500</v>
      </c>
      <c r="C5" s="56">
        <v>500</v>
      </c>
      <c r="D5" s="56">
        <v>500</v>
      </c>
      <c r="E5" s="56">
        <v>500</v>
      </c>
      <c r="F5" s="56">
        <v>300</v>
      </c>
      <c r="G5" s="56">
        <v>300</v>
      </c>
    </row>
    <row r="6" spans="1:7" s="48" customFormat="1" ht="17.100000000000001" customHeight="1">
      <c r="A6" s="39" t="s">
        <v>156</v>
      </c>
      <c r="B6" s="44">
        <v>500</v>
      </c>
      <c r="C6" s="56">
        <v>500</v>
      </c>
      <c r="D6" s="56">
        <v>500</v>
      </c>
      <c r="E6" s="56">
        <v>500</v>
      </c>
      <c r="F6" s="56">
        <v>300</v>
      </c>
      <c r="G6" s="56">
        <v>300</v>
      </c>
    </row>
    <row r="7" spans="1:7" ht="17.100000000000001" customHeight="1">
      <c r="A7" s="39" t="s">
        <v>156</v>
      </c>
      <c r="B7" s="44">
        <v>500</v>
      </c>
      <c r="C7" s="56">
        <v>500</v>
      </c>
      <c r="D7" s="56">
        <v>500</v>
      </c>
      <c r="E7" s="56">
        <v>500</v>
      </c>
      <c r="F7" s="56">
        <v>300</v>
      </c>
      <c r="G7" s="56">
        <v>300</v>
      </c>
    </row>
    <row r="8" spans="1:7" ht="17.100000000000001" customHeight="1">
      <c r="A8" s="39" t="s">
        <v>156</v>
      </c>
      <c r="B8" s="44">
        <v>500</v>
      </c>
      <c r="C8" s="56">
        <v>500</v>
      </c>
      <c r="D8" s="56">
        <v>500</v>
      </c>
      <c r="E8" s="56">
        <v>500</v>
      </c>
      <c r="F8" s="56">
        <v>300</v>
      </c>
      <c r="G8" s="56">
        <v>300</v>
      </c>
    </row>
    <row r="9" spans="1:7" ht="17.100000000000001" customHeight="1">
      <c r="A9" s="39" t="s">
        <v>157</v>
      </c>
      <c r="B9" s="44">
        <v>1500</v>
      </c>
      <c r="C9" s="56">
        <v>1500</v>
      </c>
      <c r="D9" s="56">
        <v>2000</v>
      </c>
      <c r="E9" s="56"/>
      <c r="F9" s="56">
        <v>500</v>
      </c>
      <c r="G9" s="56">
        <v>500</v>
      </c>
    </row>
    <row r="10" spans="1:7" ht="17.100000000000001" customHeight="1">
      <c r="A10" s="39" t="s">
        <v>158</v>
      </c>
      <c r="B10" s="44">
        <v>1900</v>
      </c>
      <c r="C10" s="56">
        <v>4000</v>
      </c>
      <c r="D10" s="56">
        <v>5000</v>
      </c>
      <c r="E10" s="56">
        <v>5000</v>
      </c>
      <c r="F10" s="56">
        <v>5000</v>
      </c>
      <c r="G10" s="56">
        <v>5000</v>
      </c>
    </row>
    <row r="11" spans="1:7" ht="17.100000000000001" customHeight="1">
      <c r="A11" s="39" t="s">
        <v>635</v>
      </c>
      <c r="B11" s="68">
        <v>1080</v>
      </c>
      <c r="C11" s="56">
        <v>1500</v>
      </c>
      <c r="D11" s="56">
        <v>1500</v>
      </c>
      <c r="E11" s="56">
        <v>1500</v>
      </c>
      <c r="F11" s="56">
        <f>30*35</f>
        <v>1050</v>
      </c>
      <c r="G11" s="56">
        <f>30*35</f>
        <v>1050</v>
      </c>
    </row>
    <row r="12" spans="1:7" ht="17.100000000000001" customHeight="1">
      <c r="A12" s="38" t="s">
        <v>636</v>
      </c>
      <c r="B12" s="68"/>
      <c r="C12" s="67">
        <v>1300</v>
      </c>
      <c r="D12" s="67">
        <v>1000</v>
      </c>
      <c r="E12" s="67">
        <v>1000</v>
      </c>
      <c r="F12" s="67">
        <f>35*29</f>
        <v>1015</v>
      </c>
      <c r="G12" s="67">
        <f>43*29</f>
        <v>1247</v>
      </c>
    </row>
    <row r="13" spans="1:7" ht="17.100000000000001" customHeight="1">
      <c r="A13" s="39" t="s">
        <v>637</v>
      </c>
      <c r="B13" s="68">
        <v>1000</v>
      </c>
      <c r="C13" s="56">
        <v>750</v>
      </c>
      <c r="D13" s="56">
        <v>1000</v>
      </c>
      <c r="E13" s="56"/>
      <c r="F13" s="56">
        <f>4*255</f>
        <v>1020</v>
      </c>
      <c r="G13" s="56">
        <f>4*255</f>
        <v>1020</v>
      </c>
    </row>
    <row r="14" spans="1:7" ht="17.100000000000001" customHeight="1">
      <c r="A14" s="39" t="s">
        <v>119</v>
      </c>
      <c r="B14" s="68">
        <v>100</v>
      </c>
      <c r="C14" s="56">
        <v>100</v>
      </c>
      <c r="D14" s="56">
        <v>100</v>
      </c>
      <c r="E14" s="56">
        <v>100</v>
      </c>
      <c r="F14" s="56">
        <v>100</v>
      </c>
      <c r="G14" s="56">
        <v>100</v>
      </c>
    </row>
    <row r="15" spans="1:7" ht="17.100000000000001" customHeight="1">
      <c r="A15" s="38" t="s">
        <v>490</v>
      </c>
      <c r="B15" s="68">
        <v>300</v>
      </c>
      <c r="C15" s="67">
        <v>750</v>
      </c>
      <c r="D15" s="67"/>
      <c r="E15" s="67"/>
      <c r="F15" s="67"/>
      <c r="G15" s="67">
        <v>0</v>
      </c>
    </row>
    <row r="16" spans="1:7" ht="17.100000000000001" customHeight="1">
      <c r="A16" s="38" t="s">
        <v>489</v>
      </c>
      <c r="B16" s="68">
        <v>2312</v>
      </c>
      <c r="C16" s="67"/>
      <c r="D16" s="67">
        <v>1000</v>
      </c>
      <c r="E16" s="67">
        <v>1000</v>
      </c>
      <c r="F16" s="67"/>
      <c r="G16" s="67">
        <v>0</v>
      </c>
    </row>
    <row r="17" spans="1:7" ht="17.100000000000001" customHeight="1">
      <c r="A17" s="38" t="s">
        <v>491</v>
      </c>
      <c r="B17" s="68"/>
      <c r="C17" s="67"/>
      <c r="D17" s="67">
        <v>6800</v>
      </c>
      <c r="E17" s="67"/>
      <c r="F17" s="67">
        <v>2500</v>
      </c>
      <c r="G17" s="67">
        <v>0</v>
      </c>
    </row>
    <row r="18" spans="1:7" ht="17.100000000000001" customHeight="1">
      <c r="A18" s="38" t="s">
        <v>488</v>
      </c>
      <c r="B18" s="115"/>
      <c r="C18" s="114"/>
      <c r="D18" s="114">
        <v>18000</v>
      </c>
      <c r="E18" s="114"/>
      <c r="F18" s="114">
        <f>25*1055</f>
        <v>26375</v>
      </c>
      <c r="G18" s="114">
        <v>1000</v>
      </c>
    </row>
    <row r="19" spans="1:7" ht="17.100000000000001" customHeight="1">
      <c r="A19" s="140" t="s">
        <v>558</v>
      </c>
      <c r="B19" s="115"/>
      <c r="C19" s="114"/>
      <c r="D19" s="114"/>
      <c r="E19" s="114">
        <v>62650.8</v>
      </c>
      <c r="F19" s="114">
        <f>10*5245</f>
        <v>52450</v>
      </c>
      <c r="G19" s="890">
        <f>10*5606</f>
        <v>56060</v>
      </c>
    </row>
    <row r="20" spans="1:7" ht="17.100000000000001" customHeight="1">
      <c r="A20" s="140" t="s">
        <v>559</v>
      </c>
      <c r="B20" s="115"/>
      <c r="C20" s="114"/>
      <c r="D20" s="114"/>
      <c r="E20" s="114">
        <v>20979</v>
      </c>
      <c r="F20" s="114">
        <v>10500</v>
      </c>
      <c r="G20" s="114">
        <v>0</v>
      </c>
    </row>
    <row r="21" spans="1:7" ht="17.100000000000001" customHeight="1">
      <c r="A21" s="140" t="s">
        <v>728</v>
      </c>
      <c r="B21" s="115"/>
      <c r="C21" s="114"/>
      <c r="D21" s="114"/>
      <c r="E21" s="114"/>
      <c r="F21" s="114"/>
      <c r="G21" s="890">
        <v>3000</v>
      </c>
    </row>
    <row r="22" spans="1:7" ht="17.100000000000001" customHeight="1" thickBot="1">
      <c r="A22" s="680"/>
      <c r="B22" s="68">
        <v>-200</v>
      </c>
      <c r="C22" s="67"/>
      <c r="D22" s="67"/>
      <c r="E22" s="67"/>
      <c r="F22" s="67"/>
      <c r="G22" s="885"/>
    </row>
    <row r="23" spans="1:7" ht="18.75" customHeight="1" thickTop="1">
      <c r="A23" s="96" t="s">
        <v>131</v>
      </c>
      <c r="B23" s="46">
        <f>SUM(B4:B21)</f>
        <v>10192</v>
      </c>
      <c r="C23" s="141">
        <f>SUM(C4:C21)</f>
        <v>11900</v>
      </c>
      <c r="D23" s="141">
        <f>SUM(D4:D21)</f>
        <v>38400</v>
      </c>
      <c r="E23" s="141">
        <f>SUM(E5:E22)</f>
        <v>94229.8</v>
      </c>
      <c r="F23" s="141">
        <f>SUM(F5:F22)</f>
        <v>101710</v>
      </c>
      <c r="G23" s="889">
        <f>SUM(G5:G22)</f>
        <v>70177</v>
      </c>
    </row>
    <row r="24" spans="1:7" ht="18.75" customHeight="1">
      <c r="A24" s="17"/>
    </row>
    <row r="25" spans="1:7" ht="18.75" customHeight="1">
      <c r="A25" s="17"/>
    </row>
    <row r="26" spans="1:7" ht="18.75" customHeight="1">
      <c r="A26" s="17"/>
    </row>
    <row r="27" spans="1:7" ht="18.75" customHeight="1">
      <c r="A27" s="17"/>
    </row>
    <row r="28" spans="1:7" ht="18.75" customHeight="1">
      <c r="A28" s="17"/>
    </row>
    <row r="29" spans="1:7" ht="18.75" customHeight="1">
      <c r="A29" s="17"/>
    </row>
    <row r="30" spans="1:7" ht="18.75" customHeight="1">
      <c r="A30" s="17"/>
    </row>
    <row r="31" spans="1:7" ht="18.75" customHeight="1">
      <c r="A31" s="17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23"/>
  <sheetViews>
    <sheetView workbookViewId="0"/>
  </sheetViews>
  <sheetFormatPr defaultRowHeight="16.5"/>
  <cols>
    <col min="1" max="1" width="34.140625" style="119" customWidth="1"/>
    <col min="2" max="3" width="11.7109375" style="119" hidden="1" customWidth="1"/>
    <col min="4" max="4" width="11.7109375" style="119" customWidth="1"/>
    <col min="5" max="7" width="12.5703125" style="119" customWidth="1"/>
    <col min="8" max="16384" width="9.140625" style="119"/>
  </cols>
  <sheetData>
    <row r="1" spans="1:7">
      <c r="A1" s="784" t="s">
        <v>566</v>
      </c>
      <c r="B1" s="217"/>
      <c r="C1" s="217"/>
      <c r="D1" s="217"/>
      <c r="E1" s="220"/>
      <c r="F1" s="220"/>
      <c r="G1" s="220"/>
    </row>
    <row r="2" spans="1:7">
      <c r="A2" s="134"/>
      <c r="B2" s="51"/>
      <c r="C2" s="51"/>
      <c r="D2" s="51"/>
      <c r="E2" s="51"/>
      <c r="F2" s="51"/>
      <c r="G2" s="51"/>
    </row>
    <row r="3" spans="1:7">
      <c r="A3" s="37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>
      <c r="A4" s="57"/>
      <c r="B4" s="51"/>
      <c r="C4" s="57"/>
      <c r="D4" s="57"/>
      <c r="E4" s="57"/>
      <c r="F4" s="57"/>
      <c r="G4" s="57"/>
    </row>
    <row r="5" spans="1:7">
      <c r="A5" s="39" t="s">
        <v>121</v>
      </c>
      <c r="B5" s="51">
        <v>1800</v>
      </c>
      <c r="C5" s="36">
        <v>2100</v>
      </c>
      <c r="D5" s="36">
        <v>2100</v>
      </c>
      <c r="E5" s="36">
        <v>2100</v>
      </c>
      <c r="F5" s="36">
        <v>2200</v>
      </c>
      <c r="G5" s="36">
        <v>2400</v>
      </c>
    </row>
    <row r="6" spans="1:7">
      <c r="A6" s="39" t="s">
        <v>291</v>
      </c>
      <c r="B6" s="51">
        <v>16000</v>
      </c>
      <c r="C6" s="51">
        <v>17000</v>
      </c>
      <c r="D6" s="51">
        <v>30000</v>
      </c>
      <c r="E6" s="51">
        <v>30000</v>
      </c>
      <c r="F6" s="51">
        <v>30000</v>
      </c>
      <c r="G6" s="51">
        <v>31000</v>
      </c>
    </row>
    <row r="7" spans="1:7">
      <c r="A7" s="39" t="s">
        <v>120</v>
      </c>
      <c r="B7" s="51">
        <v>1000</v>
      </c>
      <c r="C7" s="36">
        <v>1200</v>
      </c>
      <c r="D7" s="36">
        <v>1350</v>
      </c>
      <c r="E7" s="36">
        <v>1350</v>
      </c>
      <c r="F7" s="36">
        <v>1500</v>
      </c>
      <c r="G7" s="36">
        <v>1600</v>
      </c>
    </row>
    <row r="8" spans="1:7">
      <c r="A8" s="39" t="s">
        <v>198</v>
      </c>
      <c r="B8" s="51">
        <v>1000</v>
      </c>
      <c r="C8" s="51">
        <v>500</v>
      </c>
      <c r="D8" s="51">
        <v>600</v>
      </c>
      <c r="E8" s="51">
        <v>800</v>
      </c>
      <c r="F8" s="51">
        <v>800</v>
      </c>
      <c r="G8" s="51">
        <v>1200</v>
      </c>
    </row>
    <row r="9" spans="1:7">
      <c r="A9" s="39" t="s">
        <v>290</v>
      </c>
      <c r="B9" s="51">
        <v>19000</v>
      </c>
      <c r="C9" s="51">
        <v>20000</v>
      </c>
      <c r="D9" s="51">
        <v>25000</v>
      </c>
      <c r="E9" s="51">
        <v>25000</v>
      </c>
      <c r="F9" s="51">
        <v>25000</v>
      </c>
      <c r="G9" s="51">
        <v>27500</v>
      </c>
    </row>
    <row r="10" spans="1:7">
      <c r="A10" s="39" t="s">
        <v>141</v>
      </c>
      <c r="B10" s="51">
        <v>3500</v>
      </c>
      <c r="C10" s="51">
        <v>2000</v>
      </c>
      <c r="D10" s="51">
        <v>3000</v>
      </c>
      <c r="E10" s="51">
        <v>3000</v>
      </c>
      <c r="F10" s="51">
        <v>3500</v>
      </c>
      <c r="G10" s="51">
        <v>3500</v>
      </c>
    </row>
    <row r="11" spans="1:7">
      <c r="A11" s="39" t="s">
        <v>99</v>
      </c>
      <c r="B11" s="36">
        <v>1000</v>
      </c>
      <c r="C11" s="36">
        <v>1200</v>
      </c>
      <c r="D11" s="36">
        <v>1700</v>
      </c>
      <c r="E11" s="36">
        <v>1700</v>
      </c>
      <c r="F11" s="36">
        <v>2500</v>
      </c>
      <c r="G11" s="36">
        <v>2500</v>
      </c>
    </row>
    <row r="12" spans="1:7">
      <c r="A12" s="39" t="s">
        <v>560</v>
      </c>
      <c r="B12" s="36">
        <v>2500</v>
      </c>
      <c r="C12" s="51">
        <v>2000</v>
      </c>
      <c r="D12" s="51">
        <v>2000</v>
      </c>
      <c r="E12" s="51">
        <v>2000</v>
      </c>
      <c r="F12" s="51">
        <v>2000</v>
      </c>
      <c r="G12" s="51">
        <v>2500</v>
      </c>
    </row>
    <row r="13" spans="1:7">
      <c r="A13" s="39" t="s">
        <v>197</v>
      </c>
      <c r="B13" s="51">
        <v>9000</v>
      </c>
      <c r="C13" s="51">
        <v>12000</v>
      </c>
      <c r="D13" s="51">
        <v>15000</v>
      </c>
      <c r="E13" s="51">
        <v>16000</v>
      </c>
      <c r="F13" s="51">
        <v>12000</v>
      </c>
      <c r="G13" s="51">
        <v>13000</v>
      </c>
    </row>
    <row r="14" spans="1:7">
      <c r="A14" s="39" t="s">
        <v>196</v>
      </c>
      <c r="B14" s="36">
        <v>3000</v>
      </c>
      <c r="C14" s="51">
        <v>2500</v>
      </c>
      <c r="D14" s="51">
        <v>3000</v>
      </c>
      <c r="E14" s="51">
        <v>3000</v>
      </c>
      <c r="F14" s="51">
        <v>3000</v>
      </c>
      <c r="G14" s="51">
        <v>3000</v>
      </c>
    </row>
    <row r="15" spans="1:7">
      <c r="A15" s="39" t="s">
        <v>638</v>
      </c>
      <c r="B15" s="36">
        <v>350</v>
      </c>
      <c r="C15" s="51">
        <v>250</v>
      </c>
      <c r="D15" s="51">
        <v>300</v>
      </c>
      <c r="E15" s="51">
        <v>300</v>
      </c>
      <c r="F15" s="51">
        <v>400</v>
      </c>
      <c r="G15" s="51">
        <v>400</v>
      </c>
    </row>
    <row r="16" spans="1:7">
      <c r="A16" s="605" t="s">
        <v>639</v>
      </c>
      <c r="B16" s="115"/>
      <c r="C16" s="578"/>
      <c r="D16" s="578"/>
      <c r="E16" s="578">
        <v>3000</v>
      </c>
      <c r="F16" s="578">
        <v>4800</v>
      </c>
      <c r="G16" s="578"/>
    </row>
    <row r="17" spans="1:7">
      <c r="A17" s="605" t="s">
        <v>561</v>
      </c>
      <c r="B17" s="115"/>
      <c r="C17" s="578"/>
      <c r="D17" s="578"/>
      <c r="E17" s="578">
        <v>2500</v>
      </c>
      <c r="F17" s="578"/>
      <c r="G17" s="578"/>
    </row>
    <row r="18" spans="1:7">
      <c r="A18" s="69" t="s">
        <v>562</v>
      </c>
      <c r="B18" s="115"/>
      <c r="C18" s="578"/>
      <c r="D18" s="578"/>
      <c r="E18" s="578">
        <v>2000</v>
      </c>
      <c r="F18" s="578"/>
      <c r="G18" s="578"/>
    </row>
    <row r="19" spans="1:7">
      <c r="A19" s="69" t="s">
        <v>622</v>
      </c>
      <c r="B19" s="115"/>
      <c r="C19" s="578">
        <v>3000</v>
      </c>
      <c r="D19" s="578">
        <v>3000</v>
      </c>
      <c r="E19" s="578">
        <v>3830</v>
      </c>
      <c r="F19" s="578">
        <v>4400</v>
      </c>
      <c r="G19" s="578">
        <v>4800</v>
      </c>
    </row>
    <row r="20" spans="1:7">
      <c r="A20" s="69" t="s">
        <v>741</v>
      </c>
      <c r="B20" s="115"/>
      <c r="C20" s="578"/>
      <c r="D20" s="578"/>
      <c r="E20" s="578"/>
      <c r="F20" s="578"/>
      <c r="G20" s="933">
        <v>2000</v>
      </c>
    </row>
    <row r="21" spans="1:7">
      <c r="A21" s="49" t="s">
        <v>742</v>
      </c>
      <c r="B21" s="52"/>
      <c r="C21" s="52"/>
      <c r="D21" s="52"/>
      <c r="E21" s="52"/>
      <c r="F21" s="52"/>
      <c r="G21" s="888">
        <v>2800</v>
      </c>
    </row>
    <row r="22" spans="1:7" ht="17.25" thickBot="1">
      <c r="A22" s="49"/>
      <c r="B22" s="52">
        <v>-15000</v>
      </c>
      <c r="C22" s="52"/>
      <c r="D22" s="52"/>
      <c r="E22" s="52"/>
      <c r="F22" s="52"/>
      <c r="G22" s="888"/>
    </row>
    <row r="23" spans="1:7" ht="17.25" thickTop="1">
      <c r="A23" s="221" t="s">
        <v>131</v>
      </c>
      <c r="B23" s="141">
        <f t="shared" ref="B23:G23" si="0">SUM(B4:B22)</f>
        <v>43150</v>
      </c>
      <c r="C23" s="141">
        <f t="shared" si="0"/>
        <v>63750</v>
      </c>
      <c r="D23" s="141">
        <f t="shared" si="0"/>
        <v>87050</v>
      </c>
      <c r="E23" s="141">
        <f t="shared" si="0"/>
        <v>96580</v>
      </c>
      <c r="F23" s="141">
        <f t="shared" si="0"/>
        <v>92100</v>
      </c>
      <c r="G23" s="889">
        <f t="shared" si="0"/>
        <v>98200</v>
      </c>
    </row>
  </sheetData>
  <sortState ref="A7:E16">
    <sortCondition ref="A7:A16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pane ySplit="2" topLeftCell="A3" activePane="bottomLeft" state="frozen"/>
      <selection pane="bottomLeft"/>
    </sheetView>
  </sheetViews>
  <sheetFormatPr defaultRowHeight="16.5"/>
  <cols>
    <col min="1" max="1" width="41" style="119" bestFit="1" customWidth="1"/>
    <col min="2" max="3" width="11.7109375" style="119" hidden="1" customWidth="1"/>
    <col min="4" max="4" width="11.7109375" style="119" customWidth="1"/>
    <col min="5" max="7" width="12.5703125" style="119" customWidth="1"/>
    <col min="8" max="16384" width="9.140625" style="119"/>
  </cols>
  <sheetData>
    <row r="1" spans="1:7" ht="18" customHeight="1">
      <c r="A1" s="784" t="s">
        <v>221</v>
      </c>
      <c r="B1" s="226"/>
      <c r="C1" s="226"/>
      <c r="D1" s="226"/>
      <c r="E1" s="226"/>
      <c r="F1" s="226"/>
      <c r="G1" s="226"/>
    </row>
    <row r="2" spans="1:7" ht="18" customHeight="1">
      <c r="A2" s="134" t="s">
        <v>133</v>
      </c>
      <c r="B2" s="107">
        <v>2010</v>
      </c>
      <c r="C2" s="107">
        <v>2013</v>
      </c>
      <c r="D2" s="107">
        <v>2014</v>
      </c>
      <c r="E2" s="107">
        <v>2015</v>
      </c>
      <c r="F2" s="107">
        <v>2016</v>
      </c>
      <c r="G2" s="107">
        <v>2017</v>
      </c>
    </row>
    <row r="3" spans="1:7" ht="18" customHeight="1">
      <c r="A3" s="134"/>
      <c r="B3" s="108"/>
      <c r="C3" s="108"/>
      <c r="D3" s="108"/>
      <c r="E3" s="108"/>
      <c r="F3" s="108"/>
      <c r="G3" s="108"/>
    </row>
    <row r="4" spans="1:7" ht="18" customHeight="1">
      <c r="A4" s="55" t="s">
        <v>160</v>
      </c>
      <c r="B4" s="56">
        <v>400</v>
      </c>
      <c r="C4" s="56">
        <v>350</v>
      </c>
      <c r="D4" s="56">
        <v>400</v>
      </c>
      <c r="E4" s="56">
        <v>400</v>
      </c>
      <c r="F4" s="56">
        <v>400</v>
      </c>
      <c r="G4" s="56">
        <v>400</v>
      </c>
    </row>
    <row r="5" spans="1:7" ht="18" customHeight="1">
      <c r="A5" s="55" t="s">
        <v>206</v>
      </c>
      <c r="B5" s="56">
        <v>500</v>
      </c>
      <c r="C5" s="56">
        <v>250</v>
      </c>
      <c r="D5" s="56">
        <v>250</v>
      </c>
      <c r="E5" s="56">
        <v>250</v>
      </c>
      <c r="F5" s="56">
        <v>2000</v>
      </c>
      <c r="G5" s="56">
        <v>2000</v>
      </c>
    </row>
    <row r="6" spans="1:7" ht="18" customHeight="1">
      <c r="A6" s="55" t="s">
        <v>3</v>
      </c>
      <c r="B6" s="56">
        <v>2500</v>
      </c>
      <c r="C6" s="56">
        <v>1400</v>
      </c>
      <c r="D6" s="56">
        <v>1400</v>
      </c>
      <c r="E6" s="56">
        <v>1500</v>
      </c>
      <c r="F6" s="56">
        <v>1500</v>
      </c>
      <c r="G6" s="56">
        <v>1700</v>
      </c>
    </row>
    <row r="7" spans="1:7" ht="18" customHeight="1">
      <c r="A7" s="55" t="s">
        <v>2</v>
      </c>
      <c r="B7" s="129">
        <v>750</v>
      </c>
      <c r="C7" s="56">
        <v>850</v>
      </c>
      <c r="D7" s="56">
        <v>850</v>
      </c>
      <c r="E7" s="56">
        <v>850</v>
      </c>
      <c r="F7" s="56"/>
      <c r="G7" s="56">
        <v>0</v>
      </c>
    </row>
    <row r="8" spans="1:7" ht="18" customHeight="1">
      <c r="A8" s="39" t="s">
        <v>25</v>
      </c>
      <c r="B8" s="129">
        <v>600</v>
      </c>
      <c r="C8" s="67">
        <v>300</v>
      </c>
      <c r="D8" s="67">
        <v>300</v>
      </c>
      <c r="E8" s="67">
        <v>300</v>
      </c>
      <c r="F8" s="67">
        <v>400</v>
      </c>
      <c r="G8" s="67">
        <v>500</v>
      </c>
    </row>
    <row r="9" spans="1:7" ht="18" customHeight="1">
      <c r="A9" s="55" t="s">
        <v>232</v>
      </c>
      <c r="B9" s="113">
        <v>6000</v>
      </c>
      <c r="C9" s="56">
        <v>7500</v>
      </c>
      <c r="D9" s="56">
        <v>7500</v>
      </c>
      <c r="E9" s="56">
        <v>7500</v>
      </c>
      <c r="F9" s="56">
        <v>11000</v>
      </c>
      <c r="G9" s="56">
        <v>12000</v>
      </c>
    </row>
    <row r="10" spans="1:7" ht="18" customHeight="1">
      <c r="A10" s="575" t="s">
        <v>4</v>
      </c>
      <c r="B10" s="129">
        <v>1500</v>
      </c>
      <c r="C10" s="129">
        <v>200</v>
      </c>
      <c r="D10" s="129">
        <v>750</v>
      </c>
      <c r="E10" s="129">
        <v>750</v>
      </c>
      <c r="F10" s="129">
        <v>250</v>
      </c>
      <c r="G10" s="129">
        <v>500</v>
      </c>
    </row>
    <row r="11" spans="1:7" ht="18" customHeight="1">
      <c r="A11" s="39" t="s">
        <v>564</v>
      </c>
      <c r="B11" s="68">
        <v>1000</v>
      </c>
      <c r="C11" s="68"/>
      <c r="D11" s="68"/>
      <c r="E11" s="68">
        <f>10740</f>
        <v>10740</v>
      </c>
      <c r="F11" s="68"/>
      <c r="G11" s="68">
        <v>0</v>
      </c>
    </row>
    <row r="12" spans="1:7" ht="18" customHeight="1">
      <c r="A12" s="208" t="s">
        <v>563</v>
      </c>
      <c r="B12" s="56">
        <v>100</v>
      </c>
      <c r="C12" s="113">
        <v>100</v>
      </c>
      <c r="D12" s="113">
        <v>100</v>
      </c>
      <c r="E12" s="113">
        <v>100</v>
      </c>
      <c r="F12" s="113">
        <v>100</v>
      </c>
      <c r="G12" s="113">
        <v>0</v>
      </c>
    </row>
    <row r="13" spans="1:7" ht="18" customHeight="1">
      <c r="A13" s="208" t="s">
        <v>202</v>
      </c>
      <c r="B13" s="56">
        <v>250</v>
      </c>
      <c r="C13" s="56"/>
      <c r="D13" s="56">
        <v>300</v>
      </c>
      <c r="E13" s="56">
        <v>300</v>
      </c>
      <c r="F13" s="56">
        <v>300</v>
      </c>
      <c r="G13" s="56">
        <v>300</v>
      </c>
    </row>
    <row r="14" spans="1:7" ht="18" customHeight="1">
      <c r="A14" s="55" t="s">
        <v>292</v>
      </c>
      <c r="B14" s="129">
        <v>11000</v>
      </c>
      <c r="C14" s="68">
        <v>7500</v>
      </c>
      <c r="D14" s="68">
        <v>8000</v>
      </c>
      <c r="E14" s="68">
        <v>8000</v>
      </c>
      <c r="F14" s="68">
        <v>8000</v>
      </c>
      <c r="G14" s="68">
        <v>8000</v>
      </c>
    </row>
    <row r="15" spans="1:7" ht="18" customHeight="1">
      <c r="A15" s="208" t="s">
        <v>230</v>
      </c>
      <c r="B15" s="56">
        <v>1500</v>
      </c>
      <c r="C15" s="56">
        <v>1000</v>
      </c>
      <c r="D15" s="56">
        <v>2000</v>
      </c>
      <c r="E15" s="56">
        <v>2000</v>
      </c>
      <c r="F15" s="56">
        <v>6000</v>
      </c>
      <c r="G15" s="56">
        <v>6000</v>
      </c>
    </row>
    <row r="16" spans="1:7" ht="18" customHeight="1">
      <c r="A16" s="55" t="s">
        <v>293</v>
      </c>
      <c r="B16" s="56">
        <v>2000</v>
      </c>
      <c r="C16" s="129">
        <v>1500</v>
      </c>
      <c r="D16" s="129">
        <v>1500</v>
      </c>
      <c r="E16" s="129">
        <v>1500</v>
      </c>
      <c r="F16" s="129">
        <v>3800</v>
      </c>
      <c r="G16" s="129">
        <v>3500</v>
      </c>
    </row>
    <row r="17" spans="1:7" ht="18" customHeight="1">
      <c r="A17" s="55" t="s">
        <v>231</v>
      </c>
      <c r="B17" s="56">
        <v>300</v>
      </c>
      <c r="C17" s="68">
        <v>300</v>
      </c>
      <c r="D17" s="68">
        <v>300</v>
      </c>
      <c r="E17" s="68">
        <v>300</v>
      </c>
      <c r="F17" s="68">
        <v>300</v>
      </c>
      <c r="G17" s="68">
        <v>300</v>
      </c>
    </row>
    <row r="18" spans="1:7" ht="18" customHeight="1">
      <c r="A18" s="57" t="s">
        <v>294</v>
      </c>
      <c r="B18" s="576">
        <v>750</v>
      </c>
      <c r="C18" s="577">
        <v>600</v>
      </c>
      <c r="D18" s="577">
        <v>600</v>
      </c>
      <c r="E18" s="577">
        <v>600</v>
      </c>
      <c r="F18" s="577">
        <v>1200</v>
      </c>
      <c r="G18" s="577">
        <v>1500</v>
      </c>
    </row>
    <row r="19" spans="1:7" ht="18" customHeight="1">
      <c r="A19" s="57" t="s">
        <v>203</v>
      </c>
      <c r="B19" s="648">
        <v>1000</v>
      </c>
      <c r="C19" s="576">
        <v>1000</v>
      </c>
      <c r="D19" s="576">
        <v>1500</v>
      </c>
      <c r="E19" s="576">
        <v>3000</v>
      </c>
      <c r="F19" s="576">
        <v>2000</v>
      </c>
      <c r="G19" s="576">
        <v>3000</v>
      </c>
    </row>
    <row r="20" spans="1:7" ht="18" customHeight="1">
      <c r="A20" s="118" t="s">
        <v>204</v>
      </c>
      <c r="B20" s="576">
        <v>250</v>
      </c>
      <c r="C20" s="648"/>
      <c r="D20" s="648">
        <v>750</v>
      </c>
      <c r="E20" s="648">
        <v>750</v>
      </c>
      <c r="F20" s="648">
        <v>500</v>
      </c>
      <c r="G20" s="648">
        <v>750</v>
      </c>
    </row>
    <row r="21" spans="1:7" ht="18" customHeight="1">
      <c r="A21" s="57" t="s">
        <v>205</v>
      </c>
      <c r="B21" s="781"/>
      <c r="C21" s="576">
        <v>400</v>
      </c>
      <c r="D21" s="576">
        <v>400</v>
      </c>
      <c r="E21" s="576">
        <v>400</v>
      </c>
      <c r="F21" s="576">
        <v>200</v>
      </c>
      <c r="G21" s="576">
        <v>250</v>
      </c>
    </row>
    <row r="22" spans="1:7" ht="18" customHeight="1">
      <c r="A22" s="69" t="s">
        <v>493</v>
      </c>
      <c r="B22" s="577"/>
      <c r="C22" s="577">
        <v>25000</v>
      </c>
      <c r="D22" s="577"/>
      <c r="E22" s="577"/>
      <c r="F22" s="577">
        <v>27000</v>
      </c>
      <c r="G22" s="886">
        <v>0</v>
      </c>
    </row>
    <row r="23" spans="1:7" ht="18" customHeight="1">
      <c r="A23" s="782" t="s">
        <v>640</v>
      </c>
      <c r="C23" s="783"/>
      <c r="D23" s="783"/>
      <c r="E23" s="577">
        <v>9086</v>
      </c>
      <c r="F23" s="577">
        <v>4000</v>
      </c>
      <c r="G23" s="886">
        <v>0</v>
      </c>
    </row>
    <row r="24" spans="1:7" ht="18" customHeight="1">
      <c r="A24" s="69" t="s">
        <v>727</v>
      </c>
      <c r="B24" s="578"/>
      <c r="C24" s="577"/>
      <c r="D24" s="577"/>
      <c r="E24" s="577">
        <v>5000</v>
      </c>
      <c r="F24" s="577"/>
      <c r="G24" s="886">
        <v>1500</v>
      </c>
    </row>
    <row r="25" spans="1:7" ht="18" customHeight="1">
      <c r="A25" s="817" t="s">
        <v>641</v>
      </c>
      <c r="B25" s="816"/>
      <c r="C25" s="577"/>
      <c r="D25" s="577"/>
      <c r="E25" s="577"/>
      <c r="F25" s="577">
        <f>2*11500</f>
        <v>23000</v>
      </c>
      <c r="G25" s="886">
        <v>0</v>
      </c>
    </row>
    <row r="26" spans="1:7" ht="18" customHeight="1">
      <c r="A26" s="817" t="s">
        <v>642</v>
      </c>
      <c r="B26" s="816"/>
      <c r="C26" s="577"/>
      <c r="D26" s="577"/>
      <c r="E26" s="577"/>
      <c r="F26" s="577">
        <f>3*3500</f>
        <v>10500</v>
      </c>
      <c r="G26" s="886">
        <v>0</v>
      </c>
    </row>
    <row r="27" spans="1:7" ht="18" customHeight="1">
      <c r="A27" s="818" t="s">
        <v>743</v>
      </c>
      <c r="C27" s="57"/>
      <c r="D27" s="57"/>
      <c r="E27" s="57"/>
      <c r="F27" s="68"/>
      <c r="G27" s="209">
        <v>42000</v>
      </c>
    </row>
    <row r="28" spans="1:7" ht="18" customHeight="1">
      <c r="A28" s="683"/>
      <c r="B28" s="578">
        <v>-20000</v>
      </c>
      <c r="C28" s="578"/>
      <c r="D28" s="578"/>
      <c r="E28" s="577"/>
      <c r="F28" s="577"/>
      <c r="G28" s="886"/>
    </row>
    <row r="29" spans="1:7" ht="18" customHeight="1">
      <c r="A29" s="579" t="s">
        <v>182</v>
      </c>
      <c r="B29" s="484">
        <f t="shared" ref="B29:G29" si="0">SUM(B3:B28)</f>
        <v>10400</v>
      </c>
      <c r="C29" s="484">
        <f t="shared" si="0"/>
        <v>48250</v>
      </c>
      <c r="D29" s="484">
        <f t="shared" si="0"/>
        <v>26900</v>
      </c>
      <c r="E29" s="484">
        <f t="shared" si="0"/>
        <v>53326</v>
      </c>
      <c r="F29" s="484">
        <f t="shared" si="0"/>
        <v>102450</v>
      </c>
      <c r="G29" s="887">
        <f t="shared" si="0"/>
        <v>84200</v>
      </c>
    </row>
    <row r="30" spans="1:7" ht="18" customHeight="1">
      <c r="A30" s="27"/>
    </row>
    <row r="31" spans="1:7" ht="18" customHeight="1"/>
    <row r="34" spans="1:1">
      <c r="A34" s="228"/>
    </row>
    <row r="35" spans="1:1">
      <c r="A35" s="228"/>
    </row>
    <row r="36" spans="1:1">
      <c r="A36" s="228"/>
    </row>
    <row r="37" spans="1:1">
      <c r="A37" s="228"/>
    </row>
    <row r="38" spans="1:1">
      <c r="A38" s="229"/>
    </row>
    <row r="39" spans="1:1">
      <c r="A39" s="228"/>
    </row>
  </sheetData>
  <sortState ref="A4:E23">
    <sortCondition ref="A4:A23"/>
  </sortState>
  <phoneticPr fontId="19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23"/>
  <sheetViews>
    <sheetView workbookViewId="0"/>
  </sheetViews>
  <sheetFormatPr defaultRowHeight="16.5"/>
  <cols>
    <col min="1" max="1" width="34.5703125" style="119" customWidth="1"/>
    <col min="2" max="2" width="10.7109375" style="119" hidden="1" customWidth="1"/>
    <col min="3" max="3" width="11.5703125" style="119" hidden="1" customWidth="1"/>
    <col min="4" max="4" width="10.7109375" style="119" customWidth="1"/>
    <col min="5" max="7" width="11.5703125" style="119" customWidth="1"/>
    <col min="8" max="16384" width="9.140625" style="119"/>
  </cols>
  <sheetData>
    <row r="1" spans="1:7" ht="24" customHeight="1">
      <c r="A1" s="784" t="s">
        <v>568</v>
      </c>
      <c r="B1" s="202"/>
      <c r="C1" s="202"/>
      <c r="D1" s="202"/>
      <c r="E1" s="230"/>
      <c r="F1" s="230"/>
      <c r="G1" s="230"/>
    </row>
    <row r="2" spans="1:7" ht="20.100000000000001" customHeight="1">
      <c r="A2" s="207"/>
      <c r="B2" s="106"/>
      <c r="C2" s="106"/>
      <c r="D2" s="106"/>
      <c r="E2" s="57"/>
      <c r="F2" s="57"/>
      <c r="G2" s="57"/>
    </row>
    <row r="3" spans="1:7" ht="20.100000000000001" customHeight="1">
      <c r="A3" s="207"/>
      <c r="B3" s="43">
        <v>2010</v>
      </c>
      <c r="C3" s="117">
        <v>2013</v>
      </c>
      <c r="D3" s="117">
        <v>2014</v>
      </c>
      <c r="E3" s="117">
        <v>2015</v>
      </c>
      <c r="F3" s="117">
        <v>2016</v>
      </c>
      <c r="G3" s="117">
        <v>2017</v>
      </c>
    </row>
    <row r="4" spans="1:7" ht="20.100000000000001" customHeight="1">
      <c r="A4" s="207"/>
      <c r="B4" s="109"/>
      <c r="C4" s="231"/>
      <c r="D4" s="231"/>
      <c r="E4" s="231"/>
      <c r="F4" s="231"/>
      <c r="G4" s="231"/>
    </row>
    <row r="5" spans="1:7" ht="20.100000000000001" customHeight="1">
      <c r="A5" s="55" t="s">
        <v>199</v>
      </c>
      <c r="B5" s="310">
        <v>16766</v>
      </c>
      <c r="C5" s="249">
        <v>19465</v>
      </c>
      <c r="D5" s="249">
        <v>19269</v>
      </c>
      <c r="E5" s="249">
        <v>18617.73</v>
      </c>
      <c r="F5" s="249">
        <v>19077</v>
      </c>
      <c r="G5" s="249">
        <f>'Uniform WS'!E48</f>
        <v>15781.8</v>
      </c>
    </row>
    <row r="6" spans="1:7" ht="20.100000000000001" customHeight="1">
      <c r="A6" s="39" t="s">
        <v>200</v>
      </c>
      <c r="B6" s="310">
        <v>37450</v>
      </c>
      <c r="C6" s="204">
        <f>'Gear WS'!C23</f>
        <v>31900</v>
      </c>
      <c r="D6" s="204">
        <f>'Gear WS'!D23</f>
        <v>34917.75</v>
      </c>
      <c r="E6" s="204">
        <v>38575.300000000003</v>
      </c>
      <c r="F6" s="204">
        <f>'Gear WS'!F23</f>
        <v>48390</v>
      </c>
      <c r="G6" s="204">
        <f>'Gear WS'!G23</f>
        <v>109740</v>
      </c>
    </row>
    <row r="7" spans="1:7" ht="20.100000000000001" customHeight="1">
      <c r="A7" s="262"/>
      <c r="B7" s="309"/>
      <c r="C7" s="309"/>
      <c r="D7" s="309"/>
      <c r="E7" s="309"/>
      <c r="F7" s="309"/>
      <c r="G7" s="309"/>
    </row>
    <row r="8" spans="1:7" ht="20.100000000000001" customHeight="1">
      <c r="A8" s="361"/>
      <c r="B8" s="204"/>
      <c r="C8" s="204"/>
      <c r="D8" s="204"/>
      <c r="E8" s="204"/>
      <c r="F8" s="204"/>
      <c r="G8" s="204"/>
    </row>
    <row r="9" spans="1:7" ht="20.100000000000001" customHeight="1">
      <c r="A9" s="361"/>
      <c r="B9" s="204"/>
      <c r="C9" s="204"/>
      <c r="D9" s="204"/>
      <c r="E9" s="204"/>
      <c r="F9" s="204"/>
      <c r="G9" s="204"/>
    </row>
    <row r="10" spans="1:7" ht="20.100000000000001" customHeight="1">
      <c r="A10" s="39"/>
      <c r="B10" s="204"/>
      <c r="C10" s="204"/>
      <c r="D10" s="204"/>
      <c r="E10" s="204"/>
      <c r="F10" s="204"/>
      <c r="G10" s="204"/>
    </row>
    <row r="11" spans="1:7" ht="20.100000000000001" customHeight="1" thickBot="1">
      <c r="A11" s="682"/>
      <c r="B11" s="580">
        <v>-24500</v>
      </c>
      <c r="C11" s="261"/>
      <c r="D11" s="261"/>
      <c r="E11" s="261"/>
      <c r="F11" s="261"/>
      <c r="G11" s="261"/>
    </row>
    <row r="12" spans="1:7" ht="24" customHeight="1" thickTop="1">
      <c r="A12" s="227" t="s">
        <v>183</v>
      </c>
      <c r="B12" s="216">
        <f t="shared" ref="B12:G12" si="0">SUM(B4:B11)</f>
        <v>29716</v>
      </c>
      <c r="C12" s="216">
        <f t="shared" si="0"/>
        <v>51365</v>
      </c>
      <c r="D12" s="216">
        <f t="shared" si="0"/>
        <v>54186.75</v>
      </c>
      <c r="E12" s="64">
        <f t="shared" si="0"/>
        <v>57193.03</v>
      </c>
      <c r="F12" s="64">
        <f t="shared" si="0"/>
        <v>67467</v>
      </c>
      <c r="G12" s="64">
        <f t="shared" si="0"/>
        <v>125521.8</v>
      </c>
    </row>
    <row r="13" spans="1:7">
      <c r="B13" s="27"/>
      <c r="C13" s="27"/>
    </row>
    <row r="14" spans="1:7">
      <c r="B14" s="27"/>
      <c r="C14" s="27"/>
    </row>
    <row r="15" spans="1:7">
      <c r="B15" s="27"/>
      <c r="C15" s="27"/>
    </row>
    <row r="16" spans="1:7">
      <c r="B16" s="27"/>
      <c r="C16" s="27"/>
    </row>
    <row r="17" spans="2:3">
      <c r="B17" s="27"/>
      <c r="C17" s="27"/>
    </row>
    <row r="18" spans="2:3">
      <c r="B18" s="27"/>
      <c r="C18" s="27"/>
    </row>
    <row r="19" spans="2:3">
      <c r="B19" s="27"/>
      <c r="C19" s="27"/>
    </row>
    <row r="20" spans="2:3">
      <c r="B20" s="27"/>
      <c r="C20" s="27"/>
    </row>
    <row r="21" spans="2:3">
      <c r="B21" s="27"/>
      <c r="C21" s="27"/>
    </row>
    <row r="22" spans="2:3">
      <c r="B22" s="27"/>
      <c r="C22" s="27"/>
    </row>
    <row r="23" spans="2:3">
      <c r="B23" s="27"/>
      <c r="C23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0"/>
  <sheetViews>
    <sheetView workbookViewId="0">
      <selection sqref="A1:E1"/>
    </sheetView>
  </sheetViews>
  <sheetFormatPr defaultRowHeight="18.75" customHeight="1"/>
  <cols>
    <col min="1" max="1" width="36.5703125" style="5" customWidth="1"/>
    <col min="2" max="2" width="12.140625" style="5" customWidth="1"/>
    <col min="3" max="3" width="12.85546875" style="8" bestFit="1" customWidth="1"/>
    <col min="4" max="4" width="14.140625" style="9" bestFit="1" customWidth="1"/>
    <col min="5" max="5" width="14.28515625" style="5" bestFit="1" customWidth="1"/>
    <col min="6" max="6" width="14.28515625" customWidth="1"/>
    <col min="7" max="7" width="14.140625" style="9" bestFit="1" customWidth="1"/>
    <col min="8" max="9" width="9.140625" style="5"/>
    <col min="10" max="10" width="13.28515625" style="5" customWidth="1"/>
    <col min="11" max="16384" width="9.140625" style="5"/>
  </cols>
  <sheetData>
    <row r="1" spans="1:7" ht="27.75" customHeight="1">
      <c r="A1" s="957" t="s">
        <v>368</v>
      </c>
      <c r="B1" s="958"/>
      <c r="C1" s="958"/>
      <c r="D1" s="958"/>
      <c r="E1" s="959"/>
      <c r="G1" s="5"/>
    </row>
    <row r="2" spans="1:7" ht="15.75">
      <c r="A2" s="377" t="s">
        <v>142</v>
      </c>
      <c r="B2" s="378"/>
      <c r="C2" s="378"/>
      <c r="D2" s="378"/>
      <c r="E2" s="379"/>
      <c r="G2" s="5"/>
    </row>
    <row r="3" spans="1:7" s="10" customFormat="1" ht="15.75">
      <c r="A3" s="29" t="s">
        <v>143</v>
      </c>
      <c r="B3" s="380" t="s">
        <v>144</v>
      </c>
      <c r="C3" s="380" t="s">
        <v>145</v>
      </c>
      <c r="D3" s="380" t="s">
        <v>146</v>
      </c>
      <c r="E3" s="381" t="s">
        <v>147</v>
      </c>
      <c r="F3"/>
    </row>
    <row r="4" spans="1:7" ht="14.1" customHeight="1">
      <c r="A4" s="290" t="s">
        <v>148</v>
      </c>
      <c r="B4" s="288">
        <v>27</v>
      </c>
      <c r="C4" s="288">
        <v>1</v>
      </c>
      <c r="D4" s="382">
        <f>((87.5+97.5)/2)+6</f>
        <v>98.5</v>
      </c>
      <c r="E4" s="394">
        <f>B4*C4*D4</f>
        <v>2659.5</v>
      </c>
      <c r="G4" s="5"/>
    </row>
    <row r="5" spans="1:7" ht="14.1" customHeight="1">
      <c r="A5" s="290" t="s">
        <v>149</v>
      </c>
      <c r="B5" s="288">
        <v>27</v>
      </c>
      <c r="C5" s="288">
        <v>1</v>
      </c>
      <c r="D5" s="382">
        <f>104.5</f>
        <v>104.5</v>
      </c>
      <c r="E5" s="394">
        <f>B5*C5*D5</f>
        <v>2821.5</v>
      </c>
      <c r="G5" s="5"/>
    </row>
    <row r="6" spans="1:7" ht="14.1" customHeight="1">
      <c r="A6" s="290" t="s">
        <v>725</v>
      </c>
      <c r="B6" s="288">
        <v>27</v>
      </c>
      <c r="C6" s="288">
        <v>2</v>
      </c>
      <c r="D6" s="382">
        <v>12</v>
      </c>
      <c r="E6" s="394">
        <f>B6*C6*D6</f>
        <v>648</v>
      </c>
      <c r="G6" s="5"/>
    </row>
    <row r="7" spans="1:7" ht="14.1" customHeight="1">
      <c r="A7" s="290" t="s">
        <v>150</v>
      </c>
      <c r="B7" s="288">
        <v>27</v>
      </c>
      <c r="C7" s="288">
        <v>1</v>
      </c>
      <c r="D7" s="382">
        <f>42+8+6</f>
        <v>56</v>
      </c>
      <c r="E7" s="394">
        <f>B7*C7*D7</f>
        <v>1512</v>
      </c>
      <c r="G7" s="5"/>
    </row>
    <row r="8" spans="1:7" ht="14.1" customHeight="1">
      <c r="A8" s="290" t="s">
        <v>164</v>
      </c>
      <c r="B8" s="288">
        <v>27</v>
      </c>
      <c r="C8" s="288">
        <v>1</v>
      </c>
      <c r="D8" s="382">
        <f>64.5</f>
        <v>64.5</v>
      </c>
      <c r="E8" s="394">
        <f>B8*C8*D8</f>
        <v>1741.5</v>
      </c>
      <c r="G8" s="5"/>
    </row>
    <row r="9" spans="1:7" ht="14.1" customHeight="1">
      <c r="A9" s="383"/>
      <c r="B9" s="288"/>
      <c r="C9" s="288"/>
      <c r="D9" s="289"/>
      <c r="E9" s="395">
        <f>SUM(E4:E8)</f>
        <v>9382.5</v>
      </c>
      <c r="G9" s="5"/>
    </row>
    <row r="10" spans="1:7" ht="14.1" customHeight="1">
      <c r="A10" s="383" t="s">
        <v>151</v>
      </c>
      <c r="B10" s="288"/>
      <c r="C10" s="288"/>
      <c r="D10" s="288"/>
      <c r="E10" s="396"/>
      <c r="G10" s="5"/>
    </row>
    <row r="11" spans="1:7" s="7" customFormat="1" ht="14.1" customHeight="1">
      <c r="A11" s="29" t="s">
        <v>143</v>
      </c>
      <c r="B11" s="380" t="s">
        <v>144</v>
      </c>
      <c r="C11" s="380" t="s">
        <v>145</v>
      </c>
      <c r="D11" s="380" t="s">
        <v>146</v>
      </c>
      <c r="E11" s="381" t="s">
        <v>147</v>
      </c>
      <c r="F11"/>
    </row>
    <row r="12" spans="1:7" ht="14.1" customHeight="1">
      <c r="A12" s="290" t="s">
        <v>148</v>
      </c>
      <c r="B12" s="288">
        <v>2</v>
      </c>
      <c r="C12" s="288">
        <v>1</v>
      </c>
      <c r="D12" s="382">
        <f>87.5+6</f>
        <v>93.5</v>
      </c>
      <c r="E12" s="394">
        <f>B12*C12*D12</f>
        <v>187</v>
      </c>
      <c r="G12" s="5"/>
    </row>
    <row r="13" spans="1:7" ht="14.1" customHeight="1">
      <c r="A13" s="290" t="s">
        <v>725</v>
      </c>
      <c r="B13" s="288">
        <v>2</v>
      </c>
      <c r="C13" s="288">
        <v>1</v>
      </c>
      <c r="D13" s="382">
        <f>D6</f>
        <v>12</v>
      </c>
      <c r="E13" s="394">
        <f>B13*C13*D13</f>
        <v>24</v>
      </c>
      <c r="G13" s="5"/>
    </row>
    <row r="14" spans="1:7" ht="14.1" customHeight="1">
      <c r="A14" s="290" t="s">
        <v>150</v>
      </c>
      <c r="B14" s="288">
        <v>2</v>
      </c>
      <c r="C14" s="288">
        <v>1</v>
      </c>
      <c r="D14" s="382">
        <f>D7</f>
        <v>56</v>
      </c>
      <c r="E14" s="394">
        <f>B14*C14*D14</f>
        <v>112</v>
      </c>
      <c r="G14" s="5"/>
    </row>
    <row r="15" spans="1:7" ht="14.1" customHeight="1">
      <c r="A15" s="290" t="s">
        <v>164</v>
      </c>
      <c r="B15" s="288">
        <v>2</v>
      </c>
      <c r="C15" s="288">
        <v>1</v>
      </c>
      <c r="D15" s="382">
        <f>D8</f>
        <v>64.5</v>
      </c>
      <c r="E15" s="394">
        <f>B15*C15*D15</f>
        <v>129</v>
      </c>
      <c r="G15" s="5"/>
    </row>
    <row r="16" spans="1:7" ht="14.1" customHeight="1">
      <c r="A16" s="290"/>
      <c r="B16" s="288"/>
      <c r="C16" s="288"/>
      <c r="D16" s="289"/>
      <c r="E16" s="397">
        <f>SUM(E12:E15)</f>
        <v>452</v>
      </c>
      <c r="G16" s="5"/>
    </row>
    <row r="17" spans="1:7" ht="14.1" customHeight="1">
      <c r="A17" s="383" t="s">
        <v>46</v>
      </c>
      <c r="B17" s="288"/>
      <c r="C17" s="288"/>
      <c r="D17" s="288"/>
      <c r="E17" s="291"/>
      <c r="G17" s="5"/>
    </row>
    <row r="18" spans="1:7" s="7" customFormat="1" ht="14.1" customHeight="1">
      <c r="A18" s="29" t="s">
        <v>143</v>
      </c>
      <c r="B18" s="380" t="s">
        <v>144</v>
      </c>
      <c r="C18" s="380" t="s">
        <v>145</v>
      </c>
      <c r="D18" s="380" t="s">
        <v>146</v>
      </c>
      <c r="E18" s="381" t="s">
        <v>147</v>
      </c>
      <c r="F18"/>
    </row>
    <row r="19" spans="1:7" ht="14.1" customHeight="1">
      <c r="A19" s="290" t="s">
        <v>148</v>
      </c>
      <c r="B19" s="793">
        <v>3</v>
      </c>
      <c r="C19" s="288">
        <v>2</v>
      </c>
      <c r="D19" s="382">
        <f>D4</f>
        <v>98.5</v>
      </c>
      <c r="E19" s="394">
        <f>B19*C19*D19</f>
        <v>591</v>
      </c>
      <c r="G19" s="5"/>
    </row>
    <row r="20" spans="1:7" ht="14.1" customHeight="1">
      <c r="A20" s="290" t="s">
        <v>149</v>
      </c>
      <c r="B20" s="793">
        <v>3</v>
      </c>
      <c r="C20" s="288">
        <v>2</v>
      </c>
      <c r="D20" s="382">
        <f>D5</f>
        <v>104.5</v>
      </c>
      <c r="E20" s="394">
        <f>B20*C20*D20</f>
        <v>627</v>
      </c>
      <c r="G20" s="5"/>
    </row>
    <row r="21" spans="1:7" ht="14.1" customHeight="1">
      <c r="A21" s="290" t="s">
        <v>150</v>
      </c>
      <c r="B21" s="793">
        <v>3</v>
      </c>
      <c r="C21" s="288">
        <v>2</v>
      </c>
      <c r="D21" s="382">
        <f>D7</f>
        <v>56</v>
      </c>
      <c r="E21" s="394">
        <f>B21*C21*D21</f>
        <v>336</v>
      </c>
      <c r="G21" s="5"/>
    </row>
    <row r="22" spans="1:7" ht="14.1" customHeight="1">
      <c r="A22" s="290" t="s">
        <v>725</v>
      </c>
      <c r="B22" s="793">
        <v>3</v>
      </c>
      <c r="C22" s="288">
        <v>5</v>
      </c>
      <c r="D22" s="382">
        <v>12</v>
      </c>
      <c r="E22" s="394">
        <f>B22*C22*D22</f>
        <v>180</v>
      </c>
      <c r="G22" s="5"/>
    </row>
    <row r="23" spans="1:7" ht="14.1" customHeight="1">
      <c r="A23" s="290" t="s">
        <v>164</v>
      </c>
      <c r="B23" s="793">
        <v>3</v>
      </c>
      <c r="C23" s="288">
        <v>1</v>
      </c>
      <c r="D23" s="289">
        <f>D8</f>
        <v>64.5</v>
      </c>
      <c r="E23" s="394">
        <f>B23*C23*D23</f>
        <v>193.5</v>
      </c>
      <c r="G23" s="5"/>
    </row>
    <row r="24" spans="1:7" ht="14.1" customHeight="1">
      <c r="A24" s="383"/>
      <c r="B24" s="288"/>
      <c r="C24" s="288"/>
      <c r="D24" s="289"/>
      <c r="E24" s="397">
        <f>SUM(E19:E23)</f>
        <v>1927.5</v>
      </c>
      <c r="G24" s="5"/>
    </row>
    <row r="25" spans="1:7" ht="14.1" customHeight="1">
      <c r="A25" s="383" t="s">
        <v>152</v>
      </c>
      <c r="B25" s="288"/>
      <c r="C25" s="288"/>
      <c r="D25" s="288"/>
      <c r="E25" s="291"/>
      <c r="G25" s="5"/>
    </row>
    <row r="26" spans="1:7" s="7" customFormat="1" ht="14.1" customHeight="1">
      <c r="A26" s="73" t="s">
        <v>143</v>
      </c>
      <c r="B26" s="380" t="s">
        <v>144</v>
      </c>
      <c r="C26" s="380" t="s">
        <v>145</v>
      </c>
      <c r="D26" s="380" t="s">
        <v>146</v>
      </c>
      <c r="E26" s="381" t="s">
        <v>147</v>
      </c>
      <c r="F26"/>
    </row>
    <row r="27" spans="1:7" ht="14.1" customHeight="1">
      <c r="A27" s="290" t="s">
        <v>150</v>
      </c>
      <c r="B27" s="288">
        <v>2</v>
      </c>
      <c r="C27" s="288">
        <v>1</v>
      </c>
      <c r="D27" s="382">
        <f>D7</f>
        <v>56</v>
      </c>
      <c r="E27" s="394">
        <f>B27*C27*D27</f>
        <v>112</v>
      </c>
      <c r="G27" s="5"/>
    </row>
    <row r="28" spans="1:7" ht="14.1" customHeight="1">
      <c r="A28" s="383"/>
      <c r="B28" s="288"/>
      <c r="C28" s="288"/>
      <c r="D28" s="289"/>
      <c r="E28" s="398">
        <f>SUM(E27)</f>
        <v>112</v>
      </c>
      <c r="G28" s="5"/>
    </row>
    <row r="29" spans="1:7" ht="14.1" customHeight="1">
      <c r="A29" s="383" t="s">
        <v>153</v>
      </c>
      <c r="B29" s="288"/>
      <c r="C29" s="288"/>
      <c r="D29" s="288"/>
      <c r="E29" s="291"/>
      <c r="G29" s="5"/>
    </row>
    <row r="30" spans="1:7" s="7" customFormat="1" ht="14.1" customHeight="1">
      <c r="A30" s="29" t="s">
        <v>143</v>
      </c>
      <c r="B30" s="380" t="s">
        <v>144</v>
      </c>
      <c r="C30" s="380" t="s">
        <v>145</v>
      </c>
      <c r="D30" s="380" t="s">
        <v>146</v>
      </c>
      <c r="E30" s="381" t="s">
        <v>147</v>
      </c>
      <c r="F30"/>
    </row>
    <row r="31" spans="1:7" ht="14.1" customHeight="1">
      <c r="A31" s="290" t="s">
        <v>165</v>
      </c>
      <c r="B31" s="288">
        <v>2</v>
      </c>
      <c r="C31" s="288">
        <v>1</v>
      </c>
      <c r="D31" s="382">
        <f>D4</f>
        <v>98.5</v>
      </c>
      <c r="E31" s="394">
        <f>B31*C31*D31</f>
        <v>197</v>
      </c>
      <c r="G31" s="5"/>
    </row>
    <row r="32" spans="1:7" ht="14.1" customHeight="1">
      <c r="A32" s="290" t="s">
        <v>164</v>
      </c>
      <c r="B32" s="288">
        <v>2</v>
      </c>
      <c r="C32" s="288">
        <v>1</v>
      </c>
      <c r="D32" s="382">
        <v>64.5</v>
      </c>
      <c r="E32" s="394">
        <f>B32*C32*D32</f>
        <v>129</v>
      </c>
      <c r="G32" s="5"/>
    </row>
    <row r="33" spans="1:7" ht="14.1" customHeight="1">
      <c r="A33" s="290" t="s">
        <v>726</v>
      </c>
      <c r="B33" s="288">
        <v>2</v>
      </c>
      <c r="C33" s="288">
        <v>2</v>
      </c>
      <c r="D33" s="382">
        <f>D6</f>
        <v>12</v>
      </c>
      <c r="E33" s="394">
        <f>B33*C33*D33</f>
        <v>48</v>
      </c>
      <c r="G33" s="5"/>
    </row>
    <row r="34" spans="1:7" ht="18" customHeight="1">
      <c r="A34" s="383"/>
      <c r="B34" s="288"/>
      <c r="C34" s="288"/>
      <c r="D34" s="382"/>
      <c r="E34" s="399">
        <f>SUM(E31:E33)</f>
        <v>374</v>
      </c>
      <c r="G34" s="5"/>
    </row>
    <row r="35" spans="1:7" ht="14.1" customHeight="1">
      <c r="A35" s="383" t="s">
        <v>166</v>
      </c>
      <c r="B35" s="288"/>
      <c r="C35" s="288"/>
      <c r="D35" s="384"/>
      <c r="E35" s="400"/>
      <c r="G35" s="5"/>
    </row>
    <row r="36" spans="1:7" ht="14.1" customHeight="1">
      <c r="A36" s="29" t="s">
        <v>143</v>
      </c>
      <c r="B36" s="380"/>
      <c r="C36" s="380" t="s">
        <v>145</v>
      </c>
      <c r="D36" s="380" t="s">
        <v>146</v>
      </c>
      <c r="E36" s="381" t="s">
        <v>147</v>
      </c>
      <c r="G36" s="5"/>
    </row>
    <row r="37" spans="1:7" ht="14.1" customHeight="1">
      <c r="A37" s="290" t="s">
        <v>155</v>
      </c>
      <c r="B37" s="288"/>
      <c r="C37" s="288">
        <v>8</v>
      </c>
      <c r="D37" s="382"/>
      <c r="E37" s="679">
        <f>C37*D37</f>
        <v>0</v>
      </c>
      <c r="F37" s="269"/>
      <c r="G37" s="5"/>
    </row>
    <row r="38" spans="1:7" ht="14.1" customHeight="1">
      <c r="A38" s="290" t="s">
        <v>12</v>
      </c>
      <c r="B38" s="288"/>
      <c r="C38" s="288">
        <v>500</v>
      </c>
      <c r="D38" s="382"/>
      <c r="E38" s="679">
        <f t="shared" ref="E38:E45" si="0">C38*D38</f>
        <v>0</v>
      </c>
      <c r="G38" s="5"/>
    </row>
    <row r="39" spans="1:7" ht="14.1" customHeight="1">
      <c r="A39" s="290" t="s">
        <v>170</v>
      </c>
      <c r="B39" s="288"/>
      <c r="C39" s="288">
        <v>4</v>
      </c>
      <c r="D39" s="382">
        <f>12.2</f>
        <v>12.2</v>
      </c>
      <c r="E39" s="679">
        <f t="shared" si="0"/>
        <v>48.8</v>
      </c>
      <c r="G39" s="5"/>
    </row>
    <row r="40" spans="1:7" ht="14.1" customHeight="1">
      <c r="A40" s="385" t="s">
        <v>167</v>
      </c>
      <c r="B40" s="386"/>
      <c r="C40" s="386">
        <v>4</v>
      </c>
      <c r="D40" s="387">
        <f>6.95</f>
        <v>6.95</v>
      </c>
      <c r="E40" s="679">
        <f t="shared" si="0"/>
        <v>27.8</v>
      </c>
      <c r="G40" s="5"/>
    </row>
    <row r="41" spans="1:7" ht="14.1" customHeight="1">
      <c r="A41" s="385" t="s">
        <v>168</v>
      </c>
      <c r="B41" s="386"/>
      <c r="C41" s="386">
        <v>6</v>
      </c>
      <c r="D41" s="387">
        <f>21.2</f>
        <v>21.2</v>
      </c>
      <c r="E41" s="679">
        <f t="shared" si="0"/>
        <v>127.19999999999999</v>
      </c>
      <c r="G41" s="5"/>
    </row>
    <row r="42" spans="1:7" ht="14.1" customHeight="1">
      <c r="A42" s="385" t="s">
        <v>154</v>
      </c>
      <c r="B42" s="386"/>
      <c r="C42" s="386">
        <v>10</v>
      </c>
      <c r="D42" s="387">
        <f>295+18+10+10</f>
        <v>333</v>
      </c>
      <c r="E42" s="679">
        <f t="shared" si="0"/>
        <v>3330</v>
      </c>
      <c r="G42" s="5"/>
    </row>
    <row r="43" spans="1:7" ht="14.1" customHeight="1">
      <c r="A43" s="385" t="s">
        <v>169</v>
      </c>
      <c r="B43" s="386"/>
      <c r="C43" s="386">
        <v>8</v>
      </c>
      <c r="D43" s="387"/>
      <c r="E43" s="679">
        <f t="shared" si="0"/>
        <v>0</v>
      </c>
      <c r="G43" s="5"/>
    </row>
    <row r="44" spans="1:7" ht="13.5" customHeight="1">
      <c r="A44" s="290" t="s">
        <v>13</v>
      </c>
      <c r="B44" s="288"/>
      <c r="C44" s="288">
        <v>30</v>
      </c>
      <c r="D44" s="289"/>
      <c r="E44" s="679">
        <f t="shared" si="0"/>
        <v>0</v>
      </c>
      <c r="G44" s="5"/>
    </row>
    <row r="45" spans="1:7" ht="13.5" customHeight="1">
      <c r="A45" s="290" t="s">
        <v>442</v>
      </c>
      <c r="B45" s="288"/>
      <c r="C45" s="288">
        <v>30</v>
      </c>
      <c r="D45" s="289"/>
      <c r="E45" s="679">
        <f t="shared" si="0"/>
        <v>0</v>
      </c>
      <c r="G45" s="5"/>
    </row>
    <row r="46" spans="1:7" ht="13.5" customHeight="1">
      <c r="A46" s="388"/>
      <c r="B46" s="389"/>
      <c r="C46" s="389"/>
      <c r="D46" s="390"/>
      <c r="E46" s="401">
        <f>SUM(E37:E45)</f>
        <v>3533.8</v>
      </c>
      <c r="G46" s="5"/>
    </row>
    <row r="47" spans="1:7" ht="13.5" customHeight="1">
      <c r="A47" s="388"/>
      <c r="B47" s="389"/>
      <c r="C47" s="389"/>
      <c r="D47" s="390"/>
      <c r="E47" s="401"/>
      <c r="G47" s="5"/>
    </row>
    <row r="48" spans="1:7" ht="30" customHeight="1">
      <c r="A48" s="391" t="s">
        <v>122</v>
      </c>
      <c r="B48" s="392"/>
      <c r="C48" s="392"/>
      <c r="D48" s="292"/>
      <c r="E48" s="393">
        <f>E9+E16+E24+E28+E34+E46+E47</f>
        <v>15781.8</v>
      </c>
      <c r="G48" s="5"/>
    </row>
    <row r="49" spans="1:7" ht="18.75" customHeight="1">
      <c r="A49" s="12"/>
      <c r="B49" s="12"/>
      <c r="C49" s="12"/>
      <c r="D49" s="12"/>
      <c r="E49" s="12"/>
      <c r="G49" s="5"/>
    </row>
    <row r="50" spans="1:7" ht="18.75" customHeight="1">
      <c r="A50" s="12"/>
      <c r="B50" s="12"/>
      <c r="C50" s="12"/>
      <c r="D50" s="12"/>
      <c r="E50" s="12"/>
      <c r="G50" s="5"/>
    </row>
    <row r="51" spans="1:7" ht="18.75" customHeight="1">
      <c r="A51" s="12"/>
      <c r="B51" s="12"/>
      <c r="C51" s="12"/>
      <c r="D51" s="12"/>
      <c r="E51" s="12"/>
      <c r="G51" s="5"/>
    </row>
    <row r="52" spans="1:7" ht="18.75" customHeight="1">
      <c r="A52" s="12"/>
      <c r="B52" s="12"/>
      <c r="C52" s="12"/>
      <c r="D52" s="12"/>
      <c r="E52" s="12"/>
      <c r="G52" s="5"/>
    </row>
    <row r="53" spans="1:7" ht="18.75" customHeight="1">
      <c r="A53" s="12"/>
      <c r="B53" s="12"/>
      <c r="C53" s="12"/>
      <c r="D53" s="12"/>
      <c r="E53" s="12"/>
      <c r="G53" s="5"/>
    </row>
    <row r="54" spans="1:7" ht="18.75" customHeight="1">
      <c r="A54" s="12"/>
      <c r="B54" s="12"/>
      <c r="C54" s="12"/>
      <c r="D54" s="12"/>
      <c r="E54" s="12"/>
      <c r="G54" s="5"/>
    </row>
    <row r="55" spans="1:7" ht="18.75" customHeight="1">
      <c r="A55" s="12"/>
      <c r="B55" s="12"/>
      <c r="C55" s="12"/>
      <c r="D55" s="12"/>
      <c r="E55" s="12"/>
      <c r="G55" s="5"/>
    </row>
    <row r="56" spans="1:7" ht="18.75" customHeight="1">
      <c r="A56" s="12"/>
      <c r="B56" s="12"/>
      <c r="C56" s="12"/>
      <c r="D56" s="12"/>
      <c r="E56" s="12"/>
      <c r="G56" s="5"/>
    </row>
    <row r="57" spans="1:7" ht="18.75" customHeight="1">
      <c r="A57" s="12"/>
      <c r="B57" s="12"/>
      <c r="C57" s="12"/>
      <c r="D57" s="12"/>
      <c r="E57" s="12"/>
      <c r="G57" s="5"/>
    </row>
    <row r="58" spans="1:7" ht="18.75" customHeight="1">
      <c r="A58" s="12"/>
      <c r="B58" s="12"/>
      <c r="C58" s="12"/>
      <c r="D58" s="12"/>
      <c r="E58" s="12"/>
      <c r="G58" s="5"/>
    </row>
    <row r="59" spans="1:7" ht="18.75" customHeight="1">
      <c r="A59" s="12"/>
      <c r="B59" s="12"/>
      <c r="C59" s="12"/>
      <c r="D59" s="12"/>
      <c r="E59" s="12"/>
      <c r="G59" s="5"/>
    </row>
    <row r="60" spans="1:7" ht="18.75" customHeight="1">
      <c r="A60" s="12"/>
      <c r="B60" s="12"/>
      <c r="C60" s="12"/>
      <c r="D60" s="12"/>
      <c r="E60" s="12"/>
      <c r="G60" s="12"/>
    </row>
    <row r="61" spans="1:7" ht="18.75" customHeight="1">
      <c r="A61" s="12"/>
      <c r="B61" s="12"/>
      <c r="C61" s="12"/>
      <c r="D61" s="12"/>
      <c r="E61" s="12"/>
      <c r="G61" s="12"/>
    </row>
    <row r="62" spans="1:7" ht="18.75" customHeight="1">
      <c r="A62" s="12"/>
      <c r="B62" s="12"/>
      <c r="C62" s="12"/>
      <c r="D62" s="12"/>
      <c r="E62" s="12"/>
      <c r="G62" s="12"/>
    </row>
    <row r="63" spans="1:7" ht="18.75" customHeight="1">
      <c r="A63" s="12"/>
      <c r="B63" s="12"/>
      <c r="C63" s="12"/>
      <c r="D63" s="12"/>
      <c r="E63" s="12"/>
      <c r="G63" s="12"/>
    </row>
    <row r="64" spans="1:7" ht="18.75" customHeight="1">
      <c r="A64" s="12"/>
      <c r="B64" s="12"/>
      <c r="C64" s="12"/>
      <c r="D64" s="12"/>
      <c r="E64" s="12"/>
      <c r="G64" s="12"/>
    </row>
    <row r="65" spans="1:7" ht="18.75" customHeight="1">
      <c r="A65" s="12"/>
      <c r="B65" s="12"/>
      <c r="C65" s="12"/>
      <c r="D65" s="12"/>
      <c r="E65" s="12"/>
      <c r="G65" s="12"/>
    </row>
    <row r="66" spans="1:7" ht="18.75" customHeight="1">
      <c r="A66" s="12"/>
      <c r="B66" s="12"/>
      <c r="C66" s="12"/>
      <c r="D66" s="12"/>
      <c r="E66" s="12"/>
      <c r="G66" s="12"/>
    </row>
    <row r="67" spans="1:7" ht="18.75" customHeight="1">
      <c r="A67" s="12"/>
      <c r="B67" s="12"/>
      <c r="C67" s="12"/>
      <c r="D67" s="12"/>
      <c r="E67" s="12"/>
      <c r="G67" s="12"/>
    </row>
    <row r="68" spans="1:7" ht="18.75" customHeight="1">
      <c r="A68" s="12"/>
      <c r="B68" s="12"/>
      <c r="C68" s="12"/>
      <c r="D68" s="12"/>
      <c r="E68" s="12"/>
      <c r="G68" s="12"/>
    </row>
    <row r="69" spans="1:7" ht="18.75" customHeight="1">
      <c r="A69" s="12"/>
      <c r="B69" s="12"/>
      <c r="C69" s="12"/>
      <c r="D69" s="12"/>
      <c r="E69" s="12"/>
      <c r="G69" s="12"/>
    </row>
    <row r="70" spans="1:7" ht="18.75" customHeight="1">
      <c r="A70" s="12"/>
      <c r="B70" s="12"/>
      <c r="C70" s="12"/>
      <c r="D70" s="12"/>
      <c r="E70" s="12"/>
      <c r="G70" s="12"/>
    </row>
    <row r="71" spans="1:7" ht="18.75" customHeight="1">
      <c r="A71" s="12"/>
      <c r="B71" s="12"/>
      <c r="C71" s="12"/>
      <c r="D71" s="12"/>
      <c r="E71" s="12"/>
      <c r="G71" s="12"/>
    </row>
    <row r="72" spans="1:7" ht="18.75" customHeight="1">
      <c r="A72" s="12"/>
      <c r="B72" s="12"/>
      <c r="C72" s="12"/>
      <c r="D72" s="12"/>
      <c r="E72" s="12"/>
      <c r="G72" s="12"/>
    </row>
    <row r="73" spans="1:7" ht="18.75" customHeight="1">
      <c r="A73" s="12"/>
      <c r="B73" s="12"/>
      <c r="C73" s="12"/>
      <c r="D73" s="12"/>
      <c r="E73" s="12"/>
      <c r="G73" s="12"/>
    </row>
    <row r="74" spans="1:7" ht="18.75" customHeight="1">
      <c r="A74" s="12"/>
      <c r="B74" s="12"/>
      <c r="C74" s="12"/>
      <c r="D74" s="12"/>
      <c r="E74" s="12"/>
      <c r="G74" s="12"/>
    </row>
    <row r="75" spans="1:7" ht="18.75" customHeight="1">
      <c r="A75" s="12"/>
      <c r="B75" s="12"/>
      <c r="C75" s="12"/>
      <c r="D75" s="12"/>
      <c r="E75" s="12"/>
      <c r="G75" s="12"/>
    </row>
    <row r="76" spans="1:7" ht="18.75" customHeight="1">
      <c r="A76" s="12"/>
      <c r="B76" s="12"/>
      <c r="C76" s="12"/>
      <c r="D76" s="12"/>
      <c r="E76" s="12"/>
      <c r="G76" s="12"/>
    </row>
    <row r="77" spans="1:7" ht="18.75" customHeight="1">
      <c r="A77" s="12"/>
      <c r="B77" s="12"/>
      <c r="C77" s="12"/>
      <c r="D77" s="12"/>
      <c r="E77" s="12"/>
      <c r="G77" s="12"/>
    </row>
    <row r="78" spans="1:7" ht="18.75" customHeight="1">
      <c r="A78" s="12"/>
      <c r="B78" s="12"/>
      <c r="C78" s="12"/>
      <c r="D78" s="12"/>
      <c r="E78" s="12"/>
      <c r="G78" s="12"/>
    </row>
    <row r="79" spans="1:7" ht="18.75" customHeight="1">
      <c r="A79" s="12"/>
      <c r="B79" s="12"/>
      <c r="C79" s="12"/>
      <c r="D79" s="12"/>
      <c r="E79" s="12"/>
      <c r="G79" s="12"/>
    </row>
    <row r="80" spans="1:7" ht="18.75" customHeight="1">
      <c r="A80" s="12"/>
      <c r="B80" s="12"/>
      <c r="C80" s="12"/>
      <c r="D80" s="12"/>
      <c r="E80" s="12"/>
      <c r="G80" s="12"/>
    </row>
    <row r="81" spans="1:7" ht="18.75" customHeight="1">
      <c r="A81" s="12"/>
      <c r="B81" s="12"/>
      <c r="C81" s="12"/>
      <c r="D81" s="12"/>
      <c r="E81" s="12"/>
      <c r="G81" s="12"/>
    </row>
    <row r="82" spans="1:7" ht="18.75" customHeight="1">
      <c r="C82" s="5"/>
      <c r="D82" s="5"/>
      <c r="G82" s="5"/>
    </row>
    <row r="83" spans="1:7" ht="18.75" customHeight="1">
      <c r="C83" s="5"/>
      <c r="D83" s="5"/>
      <c r="G83" s="5"/>
    </row>
    <row r="84" spans="1:7" ht="18.75" customHeight="1">
      <c r="C84" s="5"/>
      <c r="D84" s="5"/>
      <c r="G84" s="5"/>
    </row>
    <row r="85" spans="1:7" ht="18.75" customHeight="1">
      <c r="C85" s="5"/>
      <c r="D85" s="5"/>
      <c r="G85" s="5"/>
    </row>
    <row r="86" spans="1:7" ht="18.75" customHeight="1">
      <c r="C86" s="5"/>
      <c r="D86" s="5"/>
      <c r="G86" s="5"/>
    </row>
    <row r="87" spans="1:7" ht="18.75" customHeight="1">
      <c r="C87" s="5"/>
      <c r="D87" s="5"/>
      <c r="G87" s="5"/>
    </row>
    <row r="88" spans="1:7" ht="18.75" customHeight="1">
      <c r="C88" s="5"/>
      <c r="D88" s="5"/>
      <c r="G88" s="5"/>
    </row>
    <row r="89" spans="1:7" ht="18.75" customHeight="1">
      <c r="C89" s="5"/>
      <c r="D89" s="5"/>
      <c r="G89" s="5"/>
    </row>
    <row r="90" spans="1:7" ht="18.75" customHeight="1">
      <c r="C90" s="5"/>
      <c r="D90" s="5"/>
      <c r="G90" s="5"/>
    </row>
    <row r="91" spans="1:7" ht="18.75" customHeight="1">
      <c r="C91" s="5"/>
      <c r="D91" s="5"/>
      <c r="G91" s="5"/>
    </row>
    <row r="92" spans="1:7" ht="18.75" customHeight="1">
      <c r="C92" s="5"/>
      <c r="D92" s="5"/>
      <c r="G92" s="5"/>
    </row>
    <row r="93" spans="1:7" ht="18.75" customHeight="1">
      <c r="C93" s="5"/>
      <c r="D93" s="5"/>
      <c r="G93" s="5"/>
    </row>
    <row r="94" spans="1:7" ht="18.75" customHeight="1">
      <c r="C94" s="5"/>
      <c r="D94" s="5"/>
      <c r="G94" s="5"/>
    </row>
    <row r="95" spans="1:7" ht="18.75" customHeight="1">
      <c r="C95" s="5"/>
      <c r="D95" s="5"/>
      <c r="G95" s="5"/>
    </row>
    <row r="96" spans="1:7" ht="18.75" customHeight="1">
      <c r="C96" s="5"/>
      <c r="D96" s="5"/>
      <c r="G96" s="5"/>
    </row>
    <row r="97" spans="3:7" ht="18.75" customHeight="1">
      <c r="C97" s="5"/>
      <c r="D97" s="5"/>
      <c r="G97" s="5"/>
    </row>
    <row r="98" spans="3:7" ht="18.75" customHeight="1">
      <c r="C98" s="5"/>
      <c r="D98" s="5"/>
      <c r="G98" s="5"/>
    </row>
    <row r="99" spans="3:7" ht="18.75" customHeight="1">
      <c r="C99" s="5"/>
      <c r="D99" s="5"/>
      <c r="G99" s="5"/>
    </row>
    <row r="100" spans="3:7" ht="18.75" customHeight="1">
      <c r="C100" s="5"/>
      <c r="D100" s="5"/>
      <c r="G100" s="5"/>
    </row>
    <row r="101" spans="3:7" ht="18.75" customHeight="1">
      <c r="C101" s="5"/>
      <c r="D101" s="5"/>
      <c r="G101" s="5"/>
    </row>
    <row r="102" spans="3:7" ht="18.75" customHeight="1">
      <c r="C102" s="5"/>
      <c r="D102" s="5"/>
      <c r="G102" s="5"/>
    </row>
    <row r="103" spans="3:7" ht="18.75" customHeight="1">
      <c r="C103" s="5"/>
      <c r="D103" s="5"/>
      <c r="G103" s="5"/>
    </row>
    <row r="104" spans="3:7" ht="18.75" customHeight="1">
      <c r="C104" s="5"/>
      <c r="D104" s="5"/>
      <c r="G104" s="5"/>
    </row>
    <row r="105" spans="3:7" ht="18.75" customHeight="1">
      <c r="C105" s="5"/>
      <c r="D105" s="5"/>
      <c r="G105" s="5"/>
    </row>
    <row r="106" spans="3:7" ht="18.75" customHeight="1">
      <c r="C106" s="5"/>
      <c r="D106" s="5"/>
      <c r="G106" s="5"/>
    </row>
    <row r="107" spans="3:7" ht="18.75" customHeight="1">
      <c r="C107" s="5"/>
      <c r="D107" s="5"/>
      <c r="G107" s="5"/>
    </row>
    <row r="108" spans="3:7" ht="18.75" customHeight="1">
      <c r="C108" s="5"/>
      <c r="D108" s="5"/>
      <c r="G108" s="5"/>
    </row>
    <row r="109" spans="3:7" ht="18.75" customHeight="1">
      <c r="C109" s="5"/>
      <c r="D109" s="5"/>
      <c r="G109" s="5"/>
    </row>
    <row r="110" spans="3:7" ht="18.75" customHeight="1">
      <c r="C110" s="5"/>
      <c r="D110" s="5"/>
      <c r="G110" s="5"/>
    </row>
    <row r="111" spans="3:7" ht="18.75" customHeight="1">
      <c r="C111" s="5"/>
      <c r="D111" s="5"/>
      <c r="G111" s="5"/>
    </row>
    <row r="112" spans="3:7" ht="18.75" customHeight="1">
      <c r="C112" s="5"/>
      <c r="D112" s="5"/>
      <c r="G112" s="5"/>
    </row>
    <row r="113" spans="3:7" ht="18.75" customHeight="1">
      <c r="C113" s="5"/>
      <c r="D113" s="5"/>
      <c r="G113" s="5"/>
    </row>
    <row r="114" spans="3:7" ht="18.75" customHeight="1">
      <c r="C114" s="5"/>
      <c r="D114" s="5"/>
      <c r="G114" s="5"/>
    </row>
    <row r="115" spans="3:7" ht="18.75" customHeight="1">
      <c r="C115" s="5"/>
      <c r="D115" s="5"/>
      <c r="G115" s="5"/>
    </row>
    <row r="116" spans="3:7" ht="18.75" customHeight="1">
      <c r="C116" s="5"/>
      <c r="D116" s="5"/>
      <c r="G116" s="5"/>
    </row>
    <row r="117" spans="3:7" ht="18.75" customHeight="1">
      <c r="C117" s="5"/>
      <c r="D117" s="5"/>
      <c r="G117" s="5"/>
    </row>
    <row r="118" spans="3:7" ht="18.75" customHeight="1">
      <c r="C118" s="5"/>
      <c r="D118" s="5"/>
      <c r="G118" s="5"/>
    </row>
    <row r="119" spans="3:7" ht="18.75" customHeight="1">
      <c r="C119" s="5"/>
      <c r="D119" s="5"/>
      <c r="G119" s="5"/>
    </row>
    <row r="120" spans="3:7" ht="18.75" customHeight="1">
      <c r="C120" s="5"/>
      <c r="D120" s="5"/>
      <c r="G120" s="5"/>
    </row>
    <row r="121" spans="3:7" ht="18.75" customHeight="1">
      <c r="C121" s="5"/>
      <c r="D121" s="5"/>
      <c r="G121" s="5"/>
    </row>
    <row r="122" spans="3:7" ht="18.75" customHeight="1">
      <c r="C122" s="5"/>
      <c r="D122" s="5"/>
      <c r="G122" s="5"/>
    </row>
    <row r="123" spans="3:7" ht="18.75" customHeight="1">
      <c r="C123" s="5"/>
      <c r="D123" s="5"/>
      <c r="G123" s="5"/>
    </row>
    <row r="124" spans="3:7" ht="18.75" customHeight="1">
      <c r="C124" s="5"/>
      <c r="D124" s="5"/>
      <c r="G124" s="5"/>
    </row>
    <row r="125" spans="3:7" ht="18.75" customHeight="1">
      <c r="C125" s="5"/>
      <c r="D125" s="5"/>
      <c r="G125" s="5"/>
    </row>
    <row r="126" spans="3:7" ht="18.75" customHeight="1">
      <c r="C126" s="5"/>
      <c r="D126" s="5"/>
      <c r="G126" s="5"/>
    </row>
    <row r="127" spans="3:7" ht="18.75" customHeight="1">
      <c r="C127" s="5"/>
      <c r="D127" s="5"/>
      <c r="G127" s="5"/>
    </row>
    <row r="128" spans="3:7" ht="18.75" customHeight="1">
      <c r="C128" s="5"/>
      <c r="D128" s="5"/>
      <c r="G128" s="5"/>
    </row>
    <row r="129" spans="3:7" ht="18.75" customHeight="1">
      <c r="C129" s="5"/>
      <c r="D129" s="5"/>
      <c r="G129" s="5"/>
    </row>
    <row r="130" spans="3:7" ht="18.75" customHeight="1">
      <c r="C130" s="5"/>
      <c r="D130" s="5"/>
      <c r="G130" s="5"/>
    </row>
    <row r="131" spans="3:7" ht="18.75" customHeight="1">
      <c r="C131" s="5"/>
      <c r="D131" s="5"/>
      <c r="G131" s="5"/>
    </row>
    <row r="132" spans="3:7" ht="18.75" customHeight="1">
      <c r="C132" s="5"/>
      <c r="D132" s="5"/>
      <c r="G132" s="5"/>
    </row>
    <row r="133" spans="3:7" ht="18.75" customHeight="1">
      <c r="C133" s="5"/>
      <c r="D133" s="5"/>
      <c r="G133" s="5"/>
    </row>
    <row r="134" spans="3:7" ht="18.75" customHeight="1">
      <c r="C134" s="5"/>
      <c r="D134" s="5"/>
      <c r="G134" s="5"/>
    </row>
    <row r="135" spans="3:7" ht="18.75" customHeight="1">
      <c r="C135" s="5"/>
      <c r="D135" s="5"/>
      <c r="G135" s="5"/>
    </row>
    <row r="136" spans="3:7" ht="18.75" customHeight="1">
      <c r="C136" s="5"/>
      <c r="D136" s="5"/>
      <c r="G136" s="5"/>
    </row>
    <row r="137" spans="3:7" ht="18.75" customHeight="1">
      <c r="C137" s="5"/>
      <c r="D137" s="5"/>
      <c r="G137" s="5"/>
    </row>
    <row r="138" spans="3:7" ht="18.75" customHeight="1">
      <c r="C138" s="5"/>
      <c r="D138" s="5"/>
      <c r="G138" s="5"/>
    </row>
    <row r="139" spans="3:7" ht="18.75" customHeight="1">
      <c r="C139" s="5"/>
      <c r="D139" s="5"/>
      <c r="G139" s="5"/>
    </row>
    <row r="140" spans="3:7" ht="18.75" customHeight="1">
      <c r="C140" s="5"/>
      <c r="D140" s="5"/>
      <c r="G140" s="5"/>
    </row>
    <row r="141" spans="3:7" ht="18.75" customHeight="1">
      <c r="C141" s="5"/>
      <c r="D141" s="5"/>
      <c r="G141" s="5"/>
    </row>
    <row r="142" spans="3:7" ht="18.75" customHeight="1">
      <c r="C142" s="5"/>
      <c r="D142" s="5"/>
      <c r="G142" s="5"/>
    </row>
    <row r="143" spans="3:7" ht="18.75" customHeight="1">
      <c r="C143" s="5"/>
      <c r="D143" s="5"/>
      <c r="G143" s="5"/>
    </row>
    <row r="144" spans="3:7" ht="18.75" customHeight="1">
      <c r="C144" s="5"/>
      <c r="D144" s="5"/>
      <c r="G144" s="5"/>
    </row>
    <row r="145" spans="3:7" ht="18.75" customHeight="1">
      <c r="C145" s="5"/>
      <c r="D145" s="5"/>
      <c r="G145" s="5"/>
    </row>
    <row r="146" spans="3:7" ht="18.75" customHeight="1">
      <c r="C146" s="5"/>
      <c r="D146" s="5"/>
      <c r="G146" s="5"/>
    </row>
    <row r="147" spans="3:7" ht="18.75" customHeight="1">
      <c r="C147" s="5"/>
      <c r="D147" s="5"/>
      <c r="G147" s="5"/>
    </row>
    <row r="148" spans="3:7" ht="18.75" customHeight="1">
      <c r="C148" s="5"/>
      <c r="D148" s="5"/>
      <c r="G148" s="5"/>
    </row>
    <row r="149" spans="3:7" ht="18.75" customHeight="1">
      <c r="C149" s="5"/>
      <c r="D149" s="5"/>
      <c r="G149" s="5"/>
    </row>
    <row r="150" spans="3:7" ht="18.75" customHeight="1">
      <c r="C150" s="5"/>
      <c r="D150" s="5"/>
      <c r="G150" s="5"/>
    </row>
    <row r="151" spans="3:7" ht="18.75" customHeight="1">
      <c r="C151" s="5"/>
      <c r="D151" s="5"/>
      <c r="G151" s="5"/>
    </row>
    <row r="152" spans="3:7" ht="18.75" customHeight="1">
      <c r="C152" s="5"/>
      <c r="D152" s="5"/>
      <c r="G152" s="5"/>
    </row>
    <row r="153" spans="3:7" ht="18.75" customHeight="1">
      <c r="C153" s="5"/>
      <c r="D153" s="5"/>
      <c r="G153" s="5"/>
    </row>
    <row r="154" spans="3:7" ht="18.75" customHeight="1">
      <c r="C154" s="5"/>
      <c r="D154" s="5"/>
      <c r="G154" s="5"/>
    </row>
    <row r="155" spans="3:7" ht="18.75" customHeight="1">
      <c r="C155" s="5"/>
      <c r="D155" s="5"/>
      <c r="G155" s="5"/>
    </row>
    <row r="156" spans="3:7" ht="18.75" customHeight="1">
      <c r="C156" s="5"/>
      <c r="D156" s="5"/>
      <c r="G156" s="5"/>
    </row>
    <row r="157" spans="3:7" ht="18.75" customHeight="1">
      <c r="C157" s="5"/>
      <c r="D157" s="5"/>
      <c r="G157" s="5"/>
    </row>
    <row r="158" spans="3:7" ht="18.75" customHeight="1">
      <c r="C158" s="5"/>
      <c r="D158" s="5"/>
      <c r="G158" s="5"/>
    </row>
    <row r="159" spans="3:7" ht="18.75" customHeight="1">
      <c r="C159" s="5"/>
      <c r="D159" s="5"/>
      <c r="G159" s="5"/>
    </row>
    <row r="160" spans="3:7" ht="18.75" customHeight="1">
      <c r="C160" s="5"/>
      <c r="D160" s="5"/>
      <c r="G160" s="5"/>
    </row>
    <row r="161" spans="3:7" ht="18.75" customHeight="1">
      <c r="C161" s="5"/>
      <c r="D161" s="5"/>
      <c r="G161" s="5"/>
    </row>
    <row r="162" spans="3:7" ht="18.75" customHeight="1">
      <c r="C162" s="5"/>
      <c r="D162" s="5"/>
      <c r="G162" s="5"/>
    </row>
    <row r="163" spans="3:7" ht="18.75" customHeight="1">
      <c r="C163" s="5"/>
      <c r="D163" s="5"/>
      <c r="G163" s="5"/>
    </row>
    <row r="164" spans="3:7" ht="18.75" customHeight="1">
      <c r="C164" s="5"/>
      <c r="D164" s="5"/>
      <c r="G164" s="5"/>
    </row>
    <row r="165" spans="3:7" ht="18.75" customHeight="1">
      <c r="C165" s="5"/>
      <c r="D165" s="5"/>
      <c r="G165" s="5"/>
    </row>
    <row r="166" spans="3:7" ht="18.75" customHeight="1">
      <c r="C166" s="5"/>
      <c r="D166" s="5"/>
      <c r="G166" s="5"/>
    </row>
    <row r="167" spans="3:7" ht="18.75" customHeight="1">
      <c r="C167" s="5"/>
      <c r="D167" s="5"/>
      <c r="G167" s="5"/>
    </row>
    <row r="168" spans="3:7" ht="18.75" customHeight="1">
      <c r="C168" s="5"/>
      <c r="D168" s="5"/>
      <c r="G168" s="5"/>
    </row>
    <row r="169" spans="3:7" ht="18.75" customHeight="1">
      <c r="C169" s="5"/>
      <c r="D169" s="5"/>
      <c r="G169" s="5"/>
    </row>
    <row r="170" spans="3:7" ht="18.75" customHeight="1">
      <c r="C170" s="5"/>
      <c r="D170" s="5"/>
      <c r="G170" s="5"/>
    </row>
    <row r="171" spans="3:7" ht="18.75" customHeight="1">
      <c r="C171" s="5"/>
      <c r="D171" s="5"/>
      <c r="G171" s="5"/>
    </row>
    <row r="172" spans="3:7" ht="18.75" customHeight="1">
      <c r="C172" s="5"/>
      <c r="D172" s="5"/>
      <c r="G172" s="5"/>
    </row>
    <row r="173" spans="3:7" ht="18.75" customHeight="1">
      <c r="C173" s="5"/>
      <c r="D173" s="5"/>
      <c r="G173" s="5"/>
    </row>
    <row r="174" spans="3:7" ht="18.75" customHeight="1">
      <c r="C174" s="5"/>
      <c r="D174" s="5"/>
      <c r="G174" s="5"/>
    </row>
    <row r="175" spans="3:7" ht="18.75" customHeight="1">
      <c r="C175" s="5"/>
      <c r="D175" s="5"/>
      <c r="G175" s="5"/>
    </row>
    <row r="176" spans="3:7" ht="18.75" customHeight="1">
      <c r="C176" s="5"/>
      <c r="D176" s="5"/>
      <c r="G176" s="5"/>
    </row>
    <row r="177" spans="3:7" ht="18.75" customHeight="1">
      <c r="C177" s="5"/>
      <c r="D177" s="5"/>
      <c r="G177" s="5"/>
    </row>
    <row r="178" spans="3:7" ht="18.75" customHeight="1">
      <c r="C178" s="5"/>
      <c r="D178" s="5"/>
      <c r="G178" s="5"/>
    </row>
    <row r="179" spans="3:7" ht="18.75" customHeight="1">
      <c r="C179" s="5"/>
      <c r="D179" s="5"/>
      <c r="G179" s="5"/>
    </row>
    <row r="180" spans="3:7" ht="18.75" customHeight="1">
      <c r="C180" s="5"/>
      <c r="D180" s="5"/>
      <c r="G180" s="5"/>
    </row>
  </sheetData>
  <mergeCells count="1">
    <mergeCell ref="A1:E1"/>
  </mergeCells>
  <phoneticPr fontId="19" type="noConversion"/>
  <printOptions horizontalCentered="1"/>
  <pageMargins left="0.75" right="0.75" top="0.75" bottom="0.75" header="0.5" footer="0.5"/>
  <pageSetup scale="98" fitToWidth="0" orientation="portrait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25"/>
  <sheetViews>
    <sheetView workbookViewId="0"/>
  </sheetViews>
  <sheetFormatPr defaultRowHeight="16.5"/>
  <cols>
    <col min="1" max="1" width="34.140625" style="119" customWidth="1"/>
    <col min="2" max="3" width="10.7109375" style="119" hidden="1" customWidth="1"/>
    <col min="4" max="4" width="10.7109375" style="119" customWidth="1"/>
    <col min="5" max="7" width="11.28515625" style="119" customWidth="1"/>
    <col min="8" max="16384" width="9.140625" style="119"/>
  </cols>
  <sheetData>
    <row r="1" spans="1:8" ht="22.5" customHeight="1">
      <c r="A1" s="784" t="s">
        <v>56</v>
      </c>
      <c r="B1" s="230"/>
      <c r="C1" s="230"/>
      <c r="D1" s="230"/>
      <c r="E1" s="230"/>
      <c r="F1" s="230"/>
      <c r="G1" s="230"/>
    </row>
    <row r="2" spans="1:8">
      <c r="A2" s="374"/>
      <c r="B2" s="117">
        <v>2010</v>
      </c>
      <c r="C2" s="117">
        <v>2013</v>
      </c>
      <c r="D2" s="117">
        <v>2014</v>
      </c>
      <c r="E2" s="117">
        <v>2015</v>
      </c>
      <c r="F2" s="117">
        <v>2016</v>
      </c>
      <c r="G2" s="117">
        <v>2017</v>
      </c>
    </row>
    <row r="3" spans="1:8">
      <c r="A3" s="375"/>
      <c r="B3" s="323"/>
      <c r="C3" s="323"/>
      <c r="D3" s="323"/>
      <c r="E3" s="323"/>
      <c r="F3" s="323"/>
      <c r="G3" s="323"/>
      <c r="H3"/>
    </row>
    <row r="4" spans="1:8">
      <c r="A4" s="306" t="s">
        <v>497</v>
      </c>
      <c r="B4" s="62">
        <v>200</v>
      </c>
      <c r="C4" s="249">
        <v>100</v>
      </c>
      <c r="D4" s="249">
        <v>100</v>
      </c>
      <c r="E4" s="249">
        <v>100</v>
      </c>
      <c r="F4" s="249">
        <v>100</v>
      </c>
      <c r="G4" s="249">
        <v>100</v>
      </c>
      <c r="H4"/>
    </row>
    <row r="5" spans="1:8">
      <c r="A5" s="297" t="s">
        <v>295</v>
      </c>
      <c r="B5" s="249">
        <v>4000</v>
      </c>
      <c r="C5" s="320">
        <v>5000</v>
      </c>
      <c r="D5" s="320">
        <v>5400</v>
      </c>
      <c r="E5" s="320">
        <f>5400+1800</f>
        <v>7200</v>
      </c>
      <c r="F5" s="320">
        <f>5400+2000</f>
        <v>7400</v>
      </c>
      <c r="G5" s="320">
        <f>5400+2000</f>
        <v>7400</v>
      </c>
      <c r="H5"/>
    </row>
    <row r="6" spans="1:8">
      <c r="A6" s="306" t="s">
        <v>498</v>
      </c>
      <c r="B6" s="62">
        <v>1500</v>
      </c>
      <c r="C6" s="249">
        <v>400</v>
      </c>
      <c r="D6" s="249">
        <v>400</v>
      </c>
      <c r="E6" s="249">
        <v>400</v>
      </c>
      <c r="F6" s="249">
        <v>600</v>
      </c>
      <c r="G6" s="249">
        <v>800</v>
      </c>
      <c r="H6"/>
    </row>
    <row r="7" spans="1:8">
      <c r="A7" s="306" t="s">
        <v>499</v>
      </c>
      <c r="B7" s="62">
        <v>600</v>
      </c>
      <c r="C7" s="249">
        <v>300</v>
      </c>
      <c r="D7" s="249">
        <v>300</v>
      </c>
      <c r="E7" s="249">
        <v>350</v>
      </c>
      <c r="F7" s="249">
        <v>400</v>
      </c>
      <c r="G7" s="249">
        <v>400</v>
      </c>
      <c r="H7"/>
    </row>
    <row r="8" spans="1:8">
      <c r="A8" s="40" t="s">
        <v>500</v>
      </c>
      <c r="B8" s="62">
        <v>800</v>
      </c>
      <c r="C8" s="62">
        <v>800</v>
      </c>
      <c r="D8" s="62">
        <f>8*250</f>
        <v>2000</v>
      </c>
      <c r="E8" s="62">
        <v>2000</v>
      </c>
      <c r="F8" s="62">
        <v>2000</v>
      </c>
      <c r="G8" s="62">
        <v>2000</v>
      </c>
      <c r="H8"/>
    </row>
    <row r="9" spans="1:8">
      <c r="A9" s="306" t="s">
        <v>501</v>
      </c>
      <c r="B9" s="62">
        <v>1000</v>
      </c>
      <c r="C9" s="249">
        <v>500</v>
      </c>
      <c r="D9" s="249">
        <v>500</v>
      </c>
      <c r="E9" s="249">
        <v>600</v>
      </c>
      <c r="F9" s="249">
        <v>600</v>
      </c>
      <c r="G9" s="249">
        <v>1200</v>
      </c>
      <c r="H9"/>
    </row>
    <row r="10" spans="1:8">
      <c r="A10" s="40" t="s">
        <v>502</v>
      </c>
      <c r="B10" s="62">
        <v>11000</v>
      </c>
      <c r="C10" s="62">
        <v>10400</v>
      </c>
      <c r="D10" s="62">
        <f>8*1500</f>
        <v>12000</v>
      </c>
      <c r="E10" s="62">
        <f>1478.25*8</f>
        <v>11826</v>
      </c>
      <c r="F10" s="62">
        <f>1500*8</f>
        <v>12000</v>
      </c>
      <c r="G10" s="62">
        <f>1500*35</f>
        <v>52500</v>
      </c>
      <c r="H10"/>
    </row>
    <row r="11" spans="1:8">
      <c r="A11" s="306" t="s">
        <v>503</v>
      </c>
      <c r="B11" s="249">
        <v>1200</v>
      </c>
      <c r="C11" s="249">
        <v>1500</v>
      </c>
      <c r="D11" s="249">
        <v>1500</v>
      </c>
      <c r="E11" s="249">
        <v>1500</v>
      </c>
      <c r="F11" s="249">
        <v>1500</v>
      </c>
      <c r="G11" s="249">
        <v>2500</v>
      </c>
      <c r="H11"/>
    </row>
    <row r="12" spans="1:8">
      <c r="A12" s="40" t="s">
        <v>504</v>
      </c>
      <c r="B12" s="62">
        <v>11000</v>
      </c>
      <c r="C12" s="62">
        <v>6800</v>
      </c>
      <c r="D12" s="62">
        <f>8*900</f>
        <v>7200</v>
      </c>
      <c r="E12" s="62">
        <f>930.6*8</f>
        <v>7444.8</v>
      </c>
      <c r="F12" s="62">
        <f>950*8</f>
        <v>7600</v>
      </c>
      <c r="G12" s="62">
        <f>900*35</f>
        <v>31500</v>
      </c>
      <c r="H12"/>
    </row>
    <row r="13" spans="1:8">
      <c r="A13" s="306" t="s">
        <v>505</v>
      </c>
      <c r="B13" s="62">
        <v>400</v>
      </c>
      <c r="C13" s="249">
        <v>200</v>
      </c>
      <c r="D13" s="249">
        <v>200</v>
      </c>
      <c r="E13" s="249">
        <v>100</v>
      </c>
      <c r="F13" s="249">
        <v>150</v>
      </c>
      <c r="G13" s="249">
        <v>150</v>
      </c>
      <c r="H13"/>
    </row>
    <row r="14" spans="1:8">
      <c r="A14" s="306" t="s">
        <v>506</v>
      </c>
      <c r="B14" s="59">
        <v>200</v>
      </c>
      <c r="C14" s="249">
        <v>400</v>
      </c>
      <c r="D14" s="249">
        <f>15*40</f>
        <v>600</v>
      </c>
      <c r="E14" s="249">
        <v>600</v>
      </c>
      <c r="F14" s="249">
        <v>600</v>
      </c>
      <c r="G14" s="249">
        <v>600</v>
      </c>
      <c r="H14"/>
    </row>
    <row r="15" spans="1:8">
      <c r="A15" s="40" t="s">
        <v>507</v>
      </c>
      <c r="B15" s="62">
        <v>250</v>
      </c>
      <c r="C15" s="62">
        <v>500</v>
      </c>
      <c r="D15" s="62">
        <f>15*40.3</f>
        <v>604.5</v>
      </c>
      <c r="E15" s="62">
        <f>40.3*15</f>
        <v>604.5</v>
      </c>
      <c r="F15" s="62">
        <f>42*15</f>
        <v>630</v>
      </c>
      <c r="G15" s="62">
        <f>50*15</f>
        <v>750</v>
      </c>
      <c r="H15"/>
    </row>
    <row r="16" spans="1:8">
      <c r="A16" s="306" t="s">
        <v>508</v>
      </c>
      <c r="B16" s="59">
        <v>800</v>
      </c>
      <c r="C16" s="249"/>
      <c r="D16" s="249"/>
      <c r="E16" s="249"/>
      <c r="F16" s="249"/>
      <c r="G16" s="249">
        <v>2000</v>
      </c>
      <c r="H16"/>
    </row>
    <row r="17" spans="1:8">
      <c r="A17" s="40" t="s">
        <v>509</v>
      </c>
      <c r="B17" s="62">
        <v>2000</v>
      </c>
      <c r="C17" s="62">
        <v>2000</v>
      </c>
      <c r="D17" s="62">
        <f>15*101.25</f>
        <v>1518.75</v>
      </c>
      <c r="E17" s="62">
        <f>239*10</f>
        <v>2390</v>
      </c>
      <c r="F17" s="62">
        <f>245*10</f>
        <v>2450</v>
      </c>
      <c r="G17" s="62">
        <f>250*10</f>
        <v>2500</v>
      </c>
      <c r="H17"/>
    </row>
    <row r="18" spans="1:8">
      <c r="A18" s="306" t="s">
        <v>510</v>
      </c>
      <c r="B18" s="59">
        <v>300</v>
      </c>
      <c r="C18" s="249">
        <v>500</v>
      </c>
      <c r="D18" s="249">
        <v>500</v>
      </c>
      <c r="E18" s="249">
        <v>800</v>
      </c>
      <c r="F18" s="249">
        <v>800</v>
      </c>
      <c r="G18" s="249">
        <v>800</v>
      </c>
      <c r="H18"/>
    </row>
    <row r="19" spans="1:8">
      <c r="A19" s="40" t="s">
        <v>511</v>
      </c>
      <c r="B19" s="62">
        <v>2000</v>
      </c>
      <c r="C19" s="62">
        <v>2000</v>
      </c>
      <c r="D19" s="62">
        <f>15*106.3</f>
        <v>1594.5</v>
      </c>
      <c r="E19" s="62">
        <f>216*10</f>
        <v>2160</v>
      </c>
      <c r="F19" s="62">
        <f>216*10</f>
        <v>2160</v>
      </c>
      <c r="G19" s="62">
        <f>220*10</f>
        <v>2200</v>
      </c>
      <c r="H19"/>
    </row>
    <row r="20" spans="1:8">
      <c r="A20" s="306" t="s">
        <v>512</v>
      </c>
      <c r="B20" s="249">
        <v>200</v>
      </c>
      <c r="C20" s="249">
        <v>500</v>
      </c>
      <c r="D20" s="249">
        <v>500</v>
      </c>
      <c r="E20" s="249">
        <v>500</v>
      </c>
      <c r="F20" s="249">
        <v>400</v>
      </c>
      <c r="G20" s="249">
        <f>85*24</f>
        <v>2040</v>
      </c>
      <c r="H20"/>
    </row>
    <row r="21" spans="1:8">
      <c r="A21" s="826" t="s">
        <v>664</v>
      </c>
      <c r="B21" s="582"/>
      <c r="C21" s="582"/>
      <c r="D21" s="582"/>
      <c r="E21" s="582"/>
      <c r="F21" s="582">
        <v>1500</v>
      </c>
      <c r="G21" s="582">
        <v>300</v>
      </c>
      <c r="H21"/>
    </row>
    <row r="22" spans="1:8">
      <c r="A22" s="311" t="s">
        <v>680</v>
      </c>
      <c r="B22" s="317"/>
      <c r="C22" s="335"/>
      <c r="D22" s="335"/>
      <c r="E22" s="335"/>
      <c r="F22" s="335">
        <v>7500</v>
      </c>
      <c r="G22" s="335"/>
      <c r="H22"/>
    </row>
    <row r="23" spans="1:8">
      <c r="A23" s="312" t="s">
        <v>182</v>
      </c>
      <c r="B23" s="313">
        <f t="shared" ref="B23:G23" si="0">SUM(B3:B22)</f>
        <v>37450</v>
      </c>
      <c r="C23" s="376">
        <f t="shared" si="0"/>
        <v>31900</v>
      </c>
      <c r="D23" s="313">
        <f t="shared" si="0"/>
        <v>34917.75</v>
      </c>
      <c r="E23" s="313">
        <f t="shared" si="0"/>
        <v>38575.300000000003</v>
      </c>
      <c r="F23" s="313">
        <f t="shared" si="0"/>
        <v>48390</v>
      </c>
      <c r="G23" s="313">
        <f t="shared" si="0"/>
        <v>109740</v>
      </c>
      <c r="H23"/>
    </row>
    <row r="24" spans="1:8" ht="18" customHeight="1"/>
    <row r="25" spans="1:8">
      <c r="A25" s="148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I20"/>
  <sheetViews>
    <sheetView workbookViewId="0"/>
  </sheetViews>
  <sheetFormatPr defaultRowHeight="18.75" customHeight="1"/>
  <cols>
    <col min="1" max="1" width="44.42578125" style="105" customWidth="1"/>
    <col min="2" max="3" width="10.5703125" style="27" hidden="1" customWidth="1"/>
    <col min="4" max="4" width="10.5703125" style="27" customWidth="1"/>
    <col min="5" max="7" width="10.85546875" style="27" customWidth="1"/>
    <col min="8" max="16384" width="9.140625" style="27"/>
  </cols>
  <sheetData>
    <row r="1" spans="1:9" s="48" customFormat="1" ht="18.95" customHeight="1">
      <c r="A1" s="230" t="s">
        <v>567</v>
      </c>
      <c r="B1" s="202"/>
      <c r="C1" s="202"/>
      <c r="D1" s="202"/>
      <c r="E1" s="220"/>
      <c r="F1" s="220"/>
      <c r="G1" s="220"/>
      <c r="H1" s="27"/>
      <c r="I1" s="27"/>
    </row>
    <row r="2" spans="1:9" ht="18.95" customHeight="1">
      <c r="A2" s="106"/>
      <c r="B2" s="106"/>
      <c r="C2" s="106"/>
      <c r="D2" s="106"/>
      <c r="E2" s="50"/>
      <c r="F2" s="50"/>
      <c r="G2" s="50"/>
    </row>
    <row r="3" spans="1:9" s="48" customFormat="1" ht="18.95" customHeight="1">
      <c r="A3" s="43" t="s">
        <v>133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  <c r="H3" s="27"/>
      <c r="I3" s="27"/>
    </row>
    <row r="4" spans="1:9" s="131" customFormat="1" ht="18.95" customHeight="1">
      <c r="A4" s="109"/>
      <c r="B4" s="125"/>
      <c r="C4" s="233"/>
      <c r="D4" s="233"/>
      <c r="E4" s="233"/>
      <c r="F4" s="233"/>
      <c r="G4" s="233"/>
      <c r="H4" s="234"/>
      <c r="I4" s="234"/>
    </row>
    <row r="5" spans="1:9" s="48" customFormat="1" ht="18.95" customHeight="1">
      <c r="A5" s="53" t="s">
        <v>5</v>
      </c>
      <c r="B5" s="59">
        <v>200</v>
      </c>
      <c r="C5" s="314">
        <v>900</v>
      </c>
      <c r="D5" s="314">
        <v>800</v>
      </c>
      <c r="E5" s="314">
        <v>800</v>
      </c>
      <c r="F5" s="314">
        <v>800</v>
      </c>
      <c r="G5" s="314">
        <v>1500</v>
      </c>
      <c r="H5" s="27"/>
      <c r="I5" s="27"/>
    </row>
    <row r="6" spans="1:9" ht="18.95" customHeight="1">
      <c r="A6" s="53" t="s">
        <v>159</v>
      </c>
      <c r="B6" s="204">
        <v>125</v>
      </c>
      <c r="C6" s="314">
        <v>100</v>
      </c>
      <c r="D6" s="314">
        <v>0</v>
      </c>
      <c r="E6" s="314">
        <v>0</v>
      </c>
      <c r="F6" s="314">
        <v>225</v>
      </c>
      <c r="G6" s="314">
        <v>225</v>
      </c>
    </row>
    <row r="7" spans="1:9" ht="18.95" customHeight="1">
      <c r="A7" s="53" t="s">
        <v>569</v>
      </c>
      <c r="B7" s="59">
        <v>125</v>
      </c>
      <c r="C7" s="315">
        <v>1000</v>
      </c>
      <c r="D7" s="315">
        <v>2500</v>
      </c>
      <c r="E7" s="315">
        <v>2500</v>
      </c>
      <c r="F7" s="315">
        <v>2500</v>
      </c>
      <c r="G7" s="315">
        <v>2500</v>
      </c>
    </row>
    <row r="8" spans="1:9" ht="18.95" customHeight="1">
      <c r="A8" s="248" t="s">
        <v>17</v>
      </c>
      <c r="B8" s="63">
        <v>1000</v>
      </c>
      <c r="C8" s="62">
        <v>2500</v>
      </c>
      <c r="D8" s="62">
        <v>1500</v>
      </c>
      <c r="E8" s="62">
        <v>1500</v>
      </c>
      <c r="F8" s="62">
        <v>1000</v>
      </c>
      <c r="G8" s="62">
        <v>3500</v>
      </c>
    </row>
    <row r="9" spans="1:9" ht="18.95" customHeight="1">
      <c r="A9" s="327" t="s">
        <v>479</v>
      </c>
      <c r="B9" s="303"/>
      <c r="C9" s="321">
        <v>1200</v>
      </c>
      <c r="D9" s="321">
        <v>1200</v>
      </c>
      <c r="E9" s="321">
        <v>1800</v>
      </c>
      <c r="F9" s="321">
        <v>1500</v>
      </c>
      <c r="G9" s="321">
        <v>3500</v>
      </c>
    </row>
    <row r="10" spans="1:9" ht="18.95" customHeight="1">
      <c r="A10" s="327" t="s">
        <v>729</v>
      </c>
      <c r="B10" s="303"/>
      <c r="C10" s="321">
        <v>9327</v>
      </c>
      <c r="D10" s="321">
        <v>10000</v>
      </c>
      <c r="E10" s="321">
        <v>0</v>
      </c>
      <c r="F10" s="321">
        <v>0</v>
      </c>
      <c r="G10" s="321">
        <f>3200*4</f>
        <v>12800</v>
      </c>
    </row>
    <row r="11" spans="1:9" ht="18.95" customHeight="1">
      <c r="A11" s="403"/>
      <c r="B11" s="303"/>
      <c r="C11" s="321"/>
      <c r="D11" s="321"/>
      <c r="E11" s="321"/>
      <c r="F11" s="321"/>
      <c r="G11" s="321"/>
    </row>
    <row r="12" spans="1:9" ht="18.95" customHeight="1">
      <c r="A12" s="683"/>
      <c r="B12" s="335"/>
      <c r="C12" s="316"/>
      <c r="D12" s="316"/>
      <c r="E12" s="316"/>
      <c r="F12" s="316"/>
      <c r="G12" s="316"/>
    </row>
    <row r="13" spans="1:9" ht="18.95" customHeight="1">
      <c r="A13" s="235" t="s">
        <v>131</v>
      </c>
      <c r="B13" s="318">
        <f>SUM(B4:B12)</f>
        <v>1450</v>
      </c>
      <c r="C13" s="318">
        <f>SUM(C4:C12)</f>
        <v>15027</v>
      </c>
      <c r="D13" s="318">
        <f>SUM(D4:D12)</f>
        <v>16000</v>
      </c>
      <c r="E13" s="318">
        <f>SUM(E5:E12)</f>
        <v>6600</v>
      </c>
      <c r="F13" s="318">
        <f>SUM(F5:F12)</f>
        <v>6025</v>
      </c>
      <c r="G13" s="318">
        <f>SUM(G5:G12)</f>
        <v>24025</v>
      </c>
    </row>
    <row r="14" spans="1:9" ht="18.75" customHeight="1">
      <c r="A14" s="119"/>
    </row>
    <row r="15" spans="1:9" ht="18.75" customHeight="1">
      <c r="A15" s="119"/>
    </row>
    <row r="17" spans="1:1" ht="18.75" customHeight="1">
      <c r="A17" s="119"/>
    </row>
    <row r="18" spans="1:1" ht="18.75" customHeight="1">
      <c r="A18" s="119"/>
    </row>
    <row r="19" spans="1:1" ht="18.75" customHeight="1">
      <c r="A19" s="119"/>
    </row>
    <row r="20" spans="1:1" ht="18.75" customHeight="1">
      <c r="A20" s="119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G13"/>
  <sheetViews>
    <sheetView workbookViewId="0"/>
  </sheetViews>
  <sheetFormatPr defaultRowHeight="18.75" customHeight="1"/>
  <cols>
    <col min="1" max="1" width="32.5703125" style="105" customWidth="1"/>
    <col min="2" max="3" width="10.7109375" style="27" hidden="1" customWidth="1"/>
    <col min="4" max="4" width="10.7109375" style="27" customWidth="1"/>
    <col min="5" max="7" width="11" style="27" customWidth="1"/>
    <col min="8" max="16384" width="9.140625" style="27"/>
  </cols>
  <sheetData>
    <row r="1" spans="1:7" s="48" customFormat="1" ht="18.75" customHeight="1">
      <c r="A1" s="230" t="s">
        <v>570</v>
      </c>
      <c r="B1" s="202"/>
      <c r="C1" s="202"/>
      <c r="D1" s="202"/>
      <c r="E1" s="232"/>
      <c r="F1" s="232"/>
      <c r="G1" s="232"/>
    </row>
    <row r="2" spans="1:7" ht="18.75" customHeight="1">
      <c r="A2" s="106"/>
      <c r="B2" s="106"/>
      <c r="C2" s="106"/>
      <c r="D2" s="106"/>
      <c r="E2" s="51"/>
      <c r="F2" s="51"/>
      <c r="G2" s="51"/>
    </row>
    <row r="3" spans="1:7" s="48" customFormat="1" ht="18.75" customHeight="1">
      <c r="A3" s="43" t="s">
        <v>133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8.75" customHeight="1">
      <c r="A4" s="109"/>
      <c r="B4" s="109"/>
      <c r="C4" s="236"/>
      <c r="D4" s="236"/>
      <c r="E4" s="236"/>
      <c r="F4" s="236"/>
      <c r="G4" s="236"/>
    </row>
    <row r="5" spans="1:7" s="48" customFormat="1" ht="18.75" customHeight="1">
      <c r="A5" s="38" t="s">
        <v>201</v>
      </c>
      <c r="B5" s="44">
        <v>400</v>
      </c>
      <c r="C5" s="36">
        <v>400</v>
      </c>
      <c r="D5" s="36">
        <v>400</v>
      </c>
      <c r="E5" s="36">
        <v>400</v>
      </c>
      <c r="F5" s="36">
        <v>500</v>
      </c>
      <c r="G5" s="36">
        <v>500</v>
      </c>
    </row>
    <row r="6" spans="1:7" s="48" customFormat="1" ht="18.75" hidden="1" customHeight="1">
      <c r="A6" s="38" t="s">
        <v>212</v>
      </c>
      <c r="B6" s="44">
        <v>200</v>
      </c>
      <c r="C6" s="36"/>
      <c r="D6" s="36"/>
      <c r="E6" s="36"/>
      <c r="F6" s="36"/>
      <c r="G6" s="36"/>
    </row>
    <row r="7" spans="1:7" s="48" customFormat="1" ht="18.75" customHeight="1">
      <c r="A7" s="282" t="s">
        <v>16</v>
      </c>
      <c r="B7" s="44">
        <v>200</v>
      </c>
      <c r="C7" s="68">
        <v>100</v>
      </c>
      <c r="D7" s="68">
        <v>100</v>
      </c>
      <c r="E7" s="68">
        <v>100</v>
      </c>
      <c r="F7" s="68">
        <v>150</v>
      </c>
      <c r="G7" s="68">
        <v>300</v>
      </c>
    </row>
    <row r="8" spans="1:7" ht="18.75" customHeight="1">
      <c r="A8" s="361"/>
      <c r="B8" s="57"/>
      <c r="C8" s="36"/>
      <c r="D8" s="36"/>
      <c r="E8" s="36"/>
      <c r="F8" s="36"/>
      <c r="G8" s="36"/>
    </row>
    <row r="9" spans="1:7" ht="18.75" customHeight="1" thickBot="1">
      <c r="A9" s="58"/>
      <c r="B9" s="218"/>
      <c r="C9" s="281"/>
      <c r="D9" s="281"/>
      <c r="E9" s="281"/>
      <c r="F9" s="281"/>
      <c r="G9" s="281"/>
    </row>
    <row r="10" spans="1:7" ht="18.75" customHeight="1" thickTop="1">
      <c r="A10" s="111" t="s">
        <v>131</v>
      </c>
      <c r="B10" s="46">
        <f t="shared" ref="B10:G10" si="0">SUM(B4:B9)</f>
        <v>800</v>
      </c>
      <c r="C10" s="46">
        <f t="shared" si="0"/>
        <v>500</v>
      </c>
      <c r="D10" s="237">
        <f t="shared" si="0"/>
        <v>500</v>
      </c>
      <c r="E10" s="237">
        <f t="shared" si="0"/>
        <v>500</v>
      </c>
      <c r="F10" s="237">
        <f t="shared" si="0"/>
        <v>650</v>
      </c>
      <c r="G10" s="237">
        <f t="shared" si="0"/>
        <v>800</v>
      </c>
    </row>
    <row r="11" spans="1:7" ht="18.75" customHeight="1">
      <c r="A11" s="119"/>
    </row>
    <row r="12" spans="1:7" s="48" customFormat="1" ht="18.75" customHeight="1">
      <c r="A12" s="119"/>
    </row>
    <row r="13" spans="1:7" ht="18.75" customHeight="1">
      <c r="A13" s="119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Q46"/>
  <sheetViews>
    <sheetView workbookViewId="0"/>
  </sheetViews>
  <sheetFormatPr defaultRowHeight="18.75" customHeight="1"/>
  <cols>
    <col min="1" max="1" width="30.85546875" style="14" customWidth="1"/>
    <col min="2" max="3" width="11.7109375" style="104" hidden="1" customWidth="1"/>
    <col min="4" max="4" width="11.7109375" style="104" customWidth="1"/>
    <col min="5" max="7" width="11.28515625" style="104" customWidth="1"/>
    <col min="8" max="16384" width="9.140625" style="104"/>
  </cols>
  <sheetData>
    <row r="1" spans="1:17" s="194" customFormat="1" ht="18.75" customHeight="1">
      <c r="A1" s="230" t="s">
        <v>236</v>
      </c>
      <c r="B1" s="202"/>
      <c r="C1" s="202"/>
      <c r="D1" s="202"/>
      <c r="E1" s="220"/>
      <c r="F1" s="220"/>
      <c r="G1" s="220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18.75" customHeight="1">
      <c r="A2" s="106"/>
      <c r="B2" s="106"/>
      <c r="C2" s="106"/>
      <c r="D2" s="106"/>
      <c r="E2" s="50"/>
      <c r="F2" s="50"/>
      <c r="G2" s="50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s="194" customFormat="1" ht="18.75" customHeight="1">
      <c r="A3" s="43" t="s">
        <v>133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7" s="195" customFormat="1" ht="18.75" customHeight="1">
      <c r="A4" s="295"/>
      <c r="B4" s="295"/>
      <c r="C4" s="319"/>
      <c r="D4" s="319"/>
      <c r="E4" s="319"/>
      <c r="F4" s="319"/>
      <c r="G4" s="319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7" ht="18.75" customHeight="1">
      <c r="A5" s="53" t="s">
        <v>533</v>
      </c>
      <c r="B5" s="204">
        <v>21000</v>
      </c>
      <c r="C5" s="59">
        <v>21000</v>
      </c>
      <c r="D5" s="59">
        <f>18963</f>
        <v>18963</v>
      </c>
      <c r="E5" s="59">
        <v>19600</v>
      </c>
      <c r="F5" s="63">
        <v>19086</v>
      </c>
      <c r="G5" s="63">
        <v>19500</v>
      </c>
      <c r="H5" s="198"/>
      <c r="I5" s="198"/>
      <c r="J5" s="198"/>
      <c r="K5" s="198"/>
      <c r="L5" s="198"/>
      <c r="M5" s="198"/>
      <c r="N5" s="198"/>
      <c r="O5" s="198"/>
      <c r="P5" s="198"/>
      <c r="Q5" s="198"/>
    </row>
    <row r="6" spans="1:17" ht="18.75" customHeight="1">
      <c r="A6" s="448"/>
      <c r="B6" s="205"/>
      <c r="C6" s="303"/>
      <c r="D6" s="303"/>
      <c r="E6" s="303"/>
      <c r="F6" s="303"/>
      <c r="G6" s="303"/>
      <c r="H6" s="198"/>
      <c r="I6" s="198"/>
      <c r="J6" s="198"/>
      <c r="K6" s="198"/>
      <c r="L6" s="198"/>
      <c r="M6" s="198"/>
      <c r="N6" s="198"/>
      <c r="O6" s="198"/>
      <c r="P6" s="198"/>
      <c r="Q6" s="198"/>
    </row>
    <row r="7" spans="1:17" ht="18.75" customHeight="1" thickBot="1">
      <c r="A7" s="448"/>
      <c r="B7" s="205">
        <v>-1327</v>
      </c>
      <c r="C7" s="303"/>
      <c r="D7" s="303"/>
      <c r="E7" s="303"/>
      <c r="F7" s="303"/>
      <c r="G7" s="303"/>
      <c r="H7" s="198"/>
      <c r="I7" s="198"/>
      <c r="J7" s="198"/>
      <c r="K7" s="198"/>
      <c r="L7" s="198"/>
      <c r="M7" s="198"/>
      <c r="N7" s="198"/>
      <c r="O7" s="198"/>
      <c r="P7" s="198"/>
      <c r="Q7" s="198"/>
    </row>
    <row r="8" spans="1:17" ht="18.75" customHeight="1" thickTop="1">
      <c r="A8" s="276" t="s">
        <v>131</v>
      </c>
      <c r="B8" s="449">
        <f t="shared" ref="B8:D8" si="0">SUM(B4:B7)</f>
        <v>19673</v>
      </c>
      <c r="C8" s="64">
        <f t="shared" si="0"/>
        <v>21000</v>
      </c>
      <c r="D8" s="64">
        <f t="shared" si="0"/>
        <v>18963</v>
      </c>
      <c r="E8" s="64">
        <f>SUM(E4:E7)</f>
        <v>19600</v>
      </c>
      <c r="F8" s="64">
        <f>SUM(F4:F7)</f>
        <v>19086</v>
      </c>
      <c r="G8" s="64">
        <f>SUM(G4:G7)</f>
        <v>19500</v>
      </c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17" ht="18.75" customHeight="1">
      <c r="A9" s="119"/>
      <c r="B9" s="137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</row>
    <row r="10" spans="1:17" ht="18.75" customHeight="1">
      <c r="A10" s="119"/>
      <c r="B10" s="27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</row>
    <row r="11" spans="1:17" ht="18.75" customHeight="1">
      <c r="A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</row>
    <row r="12" spans="1:17" ht="18.75" customHeight="1">
      <c r="A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</row>
    <row r="13" spans="1:17" ht="18.75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</row>
    <row r="14" spans="1:17" ht="18.75" customHeight="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</row>
    <row r="15" spans="1:17" ht="18.75" customHeight="1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</row>
    <row r="16" spans="1:17" ht="18.75" customHeight="1">
      <c r="A16" s="198"/>
      <c r="B16" s="198"/>
      <c r="C16" s="198"/>
      <c r="D16" s="198"/>
    </row>
    <row r="17" spans="1:4" ht="18.75" customHeight="1">
      <c r="A17" s="198"/>
      <c r="B17" s="198"/>
      <c r="C17" s="198"/>
      <c r="D17" s="198"/>
    </row>
    <row r="18" spans="1:4" ht="18.75" customHeight="1">
      <c r="A18" s="198"/>
      <c r="B18" s="198"/>
      <c r="C18" s="198"/>
      <c r="D18" s="198"/>
    </row>
    <row r="19" spans="1:4" ht="18.75" customHeight="1">
      <c r="A19" s="198"/>
      <c r="B19" s="198"/>
      <c r="C19" s="198"/>
      <c r="D19" s="198"/>
    </row>
    <row r="20" spans="1:4" ht="18.75" customHeight="1">
      <c r="A20" s="198"/>
      <c r="B20" s="198"/>
      <c r="C20" s="198"/>
      <c r="D20" s="198"/>
    </row>
    <row r="21" spans="1:4" ht="18.75" customHeight="1">
      <c r="A21" s="198"/>
      <c r="B21" s="198"/>
      <c r="C21" s="198"/>
      <c r="D21" s="198"/>
    </row>
    <row r="22" spans="1:4" ht="18.75" customHeight="1">
      <c r="A22" s="198"/>
      <c r="B22" s="198"/>
      <c r="C22" s="198"/>
      <c r="D22" s="198"/>
    </row>
    <row r="23" spans="1:4" ht="18.75" customHeight="1">
      <c r="A23" s="198"/>
      <c r="B23" s="198"/>
      <c r="C23" s="198"/>
      <c r="D23" s="198"/>
    </row>
    <row r="24" spans="1:4" ht="18.75" customHeight="1">
      <c r="A24" s="198"/>
      <c r="B24" s="198"/>
      <c r="C24" s="198"/>
      <c r="D24" s="198"/>
    </row>
    <row r="25" spans="1:4" ht="18.75" customHeight="1">
      <c r="A25" s="198"/>
      <c r="B25" s="198"/>
      <c r="C25" s="198"/>
      <c r="D25" s="198"/>
    </row>
    <row r="26" spans="1:4" ht="18.75" customHeight="1">
      <c r="A26" s="198"/>
      <c r="B26" s="198"/>
      <c r="C26" s="198"/>
      <c r="D26" s="198"/>
    </row>
    <row r="27" spans="1:4" ht="18.75" customHeight="1">
      <c r="A27" s="198"/>
      <c r="B27" s="198"/>
      <c r="C27" s="198"/>
      <c r="D27" s="198"/>
    </row>
    <row r="28" spans="1:4" ht="18.75" customHeight="1">
      <c r="A28" s="198"/>
      <c r="B28" s="198"/>
      <c r="C28" s="198"/>
      <c r="D28" s="198"/>
    </row>
    <row r="29" spans="1:4" ht="18.75" customHeight="1">
      <c r="A29" s="198"/>
      <c r="B29" s="198"/>
      <c r="C29" s="198"/>
      <c r="D29" s="198"/>
    </row>
    <row r="30" spans="1:4" ht="18.75" customHeight="1">
      <c r="A30" s="198"/>
      <c r="B30" s="198"/>
      <c r="C30" s="198"/>
      <c r="D30" s="198"/>
    </row>
    <row r="31" spans="1:4" ht="18.75" customHeight="1">
      <c r="A31" s="198"/>
      <c r="B31" s="198"/>
      <c r="C31" s="198"/>
      <c r="D31" s="198"/>
    </row>
    <row r="32" spans="1:4" ht="18.75" customHeight="1">
      <c r="A32" s="198"/>
      <c r="B32" s="198"/>
      <c r="C32" s="198"/>
      <c r="D32" s="198"/>
    </row>
    <row r="33" spans="1:4" ht="18.75" customHeight="1">
      <c r="A33" s="198"/>
      <c r="B33" s="198"/>
      <c r="C33" s="198"/>
      <c r="D33" s="198"/>
    </row>
    <row r="34" spans="1:4" ht="18.75" customHeight="1">
      <c r="A34" s="198"/>
      <c r="B34" s="198"/>
      <c r="C34" s="198"/>
      <c r="D34" s="198"/>
    </row>
    <row r="35" spans="1:4" ht="18.75" customHeight="1">
      <c r="A35" s="198"/>
      <c r="B35" s="198"/>
      <c r="C35" s="198"/>
      <c r="D35" s="198"/>
    </row>
    <row r="36" spans="1:4" ht="18.75" customHeight="1">
      <c r="A36" s="198"/>
      <c r="B36" s="198"/>
      <c r="C36" s="198"/>
      <c r="D36" s="198"/>
    </row>
    <row r="37" spans="1:4" ht="18.75" customHeight="1">
      <c r="A37" s="198"/>
      <c r="B37" s="198"/>
      <c r="C37" s="198"/>
      <c r="D37" s="198"/>
    </row>
    <row r="38" spans="1:4" ht="18.75" customHeight="1">
      <c r="A38" s="198"/>
      <c r="B38" s="198"/>
      <c r="C38" s="198"/>
      <c r="D38" s="198"/>
    </row>
    <row r="39" spans="1:4" ht="18.75" customHeight="1">
      <c r="A39" s="198"/>
      <c r="B39" s="198"/>
      <c r="C39" s="198"/>
      <c r="D39" s="198"/>
    </row>
    <row r="40" spans="1:4" ht="18.75" customHeight="1">
      <c r="A40" s="198"/>
      <c r="B40" s="198"/>
      <c r="C40" s="198"/>
      <c r="D40" s="198"/>
    </row>
    <row r="41" spans="1:4" ht="18.75" customHeight="1">
      <c r="A41" s="198"/>
      <c r="B41" s="198"/>
      <c r="C41" s="198"/>
      <c r="D41" s="198"/>
    </row>
    <row r="42" spans="1:4" ht="18.75" customHeight="1">
      <c r="A42" s="198"/>
      <c r="B42" s="198"/>
      <c r="C42" s="198"/>
      <c r="D42" s="198"/>
    </row>
    <row r="43" spans="1:4" ht="18.75" customHeight="1">
      <c r="A43" s="198"/>
      <c r="B43" s="198"/>
      <c r="C43" s="198"/>
      <c r="D43" s="198"/>
    </row>
    <row r="44" spans="1:4" ht="18.75" customHeight="1">
      <c r="A44" s="198"/>
      <c r="B44" s="198"/>
      <c r="C44" s="198"/>
      <c r="D44" s="198"/>
    </row>
    <row r="45" spans="1:4" ht="18.75" customHeight="1">
      <c r="A45" s="198"/>
      <c r="B45" s="198"/>
      <c r="C45" s="198"/>
      <c r="D45" s="198"/>
    </row>
    <row r="46" spans="1:4" ht="18.75" customHeight="1">
      <c r="A46" s="198"/>
      <c r="B46" s="198"/>
      <c r="C46" s="198"/>
      <c r="D46" s="198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G33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/>
  <cols>
    <col min="1" max="1" width="44.140625" style="243" bestFit="1" customWidth="1"/>
    <col min="2" max="2" width="11.5703125" style="243" hidden="1" customWidth="1"/>
    <col min="3" max="3" width="10.7109375" style="243" hidden="1" customWidth="1"/>
    <col min="4" max="4" width="10.7109375" style="243" customWidth="1"/>
    <col min="5" max="7" width="12.7109375" style="243" customWidth="1"/>
    <col min="8" max="16384" width="8.85546875" style="243"/>
  </cols>
  <sheetData>
    <row r="1" spans="1:7" s="239" customFormat="1" ht="22.5" customHeight="1">
      <c r="A1" s="985" t="s">
        <v>586</v>
      </c>
      <c r="B1" s="238"/>
      <c r="C1" s="238"/>
      <c r="D1" s="238"/>
      <c r="E1" s="238"/>
      <c r="F1" s="238"/>
      <c r="G1" s="238"/>
    </row>
    <row r="2" spans="1:7" s="241" customFormat="1" ht="25.5" customHeight="1">
      <c r="A2" s="240"/>
      <c r="B2" s="542">
        <v>2010</v>
      </c>
      <c r="C2" s="542">
        <v>2013</v>
      </c>
      <c r="D2" s="906">
        <v>2014</v>
      </c>
      <c r="E2" s="906">
        <v>2015</v>
      </c>
      <c r="F2" s="906">
        <v>2016</v>
      </c>
      <c r="G2" s="906">
        <v>2017</v>
      </c>
    </row>
    <row r="3" spans="1:7" s="242" customFormat="1">
      <c r="A3" s="626" t="s">
        <v>133</v>
      </c>
      <c r="B3" s="627"/>
      <c r="C3" s="627"/>
      <c r="D3" s="628"/>
      <c r="E3" s="628"/>
      <c r="F3" s="628"/>
      <c r="G3" s="628"/>
    </row>
    <row r="4" spans="1:7" hidden="1">
      <c r="A4" s="629" t="s">
        <v>228</v>
      </c>
      <c r="B4" s="630">
        <v>300</v>
      </c>
      <c r="C4" s="631">
        <v>275</v>
      </c>
      <c r="D4" s="631">
        <v>600</v>
      </c>
      <c r="E4" s="631" t="s">
        <v>585</v>
      </c>
      <c r="F4" s="631" t="s">
        <v>585</v>
      </c>
      <c r="G4" s="631" t="s">
        <v>585</v>
      </c>
    </row>
    <row r="5" spans="1:7" hidden="1">
      <c r="A5" s="629" t="s">
        <v>229</v>
      </c>
      <c r="B5" s="630">
        <v>250</v>
      </c>
      <c r="C5" s="631">
        <v>500</v>
      </c>
      <c r="D5" s="631">
        <v>800</v>
      </c>
      <c r="E5" s="631" t="s">
        <v>585</v>
      </c>
      <c r="F5" s="631" t="s">
        <v>585</v>
      </c>
      <c r="G5" s="631" t="s">
        <v>585</v>
      </c>
    </row>
    <row r="6" spans="1:7">
      <c r="A6" s="629" t="s">
        <v>312</v>
      </c>
      <c r="B6" s="630">
        <v>1000</v>
      </c>
      <c r="C6" s="631">
        <v>3000</v>
      </c>
      <c r="D6" s="631">
        <v>5000</v>
      </c>
      <c r="E6" s="631">
        <v>4000</v>
      </c>
      <c r="F6" s="631">
        <v>3500</v>
      </c>
      <c r="G6" s="631">
        <v>3500</v>
      </c>
    </row>
    <row r="7" spans="1:7" hidden="1">
      <c r="A7" s="629" t="s">
        <v>104</v>
      </c>
      <c r="B7" s="630"/>
      <c r="C7" s="631">
        <v>500</v>
      </c>
      <c r="D7" s="631">
        <v>1000</v>
      </c>
      <c r="E7" s="631" t="s">
        <v>579</v>
      </c>
      <c r="F7" s="631" t="s">
        <v>579</v>
      </c>
      <c r="G7" s="631"/>
    </row>
    <row r="8" spans="1:7" hidden="1">
      <c r="A8" s="629" t="s">
        <v>105</v>
      </c>
      <c r="B8" s="630">
        <v>1000</v>
      </c>
      <c r="C8" s="631">
        <v>400</v>
      </c>
      <c r="D8" s="631">
        <v>1000</v>
      </c>
      <c r="E8" s="631" t="s">
        <v>579</v>
      </c>
      <c r="F8" s="631" t="s">
        <v>579</v>
      </c>
      <c r="G8" s="631"/>
    </row>
    <row r="9" spans="1:7" hidden="1">
      <c r="A9" s="629" t="s">
        <v>311</v>
      </c>
      <c r="B9" s="630">
        <v>1800</v>
      </c>
      <c r="C9" s="631">
        <v>2400</v>
      </c>
      <c r="D9" s="631">
        <v>2100</v>
      </c>
      <c r="E9" s="632" t="s">
        <v>581</v>
      </c>
      <c r="F9" s="632" t="s">
        <v>581</v>
      </c>
      <c r="G9" s="632"/>
    </row>
    <row r="10" spans="1:7" hidden="1">
      <c r="A10" s="629" t="s">
        <v>310</v>
      </c>
      <c r="B10" s="630">
        <v>2440</v>
      </c>
      <c r="C10" s="631">
        <v>450</v>
      </c>
      <c r="D10" s="631">
        <v>700</v>
      </c>
      <c r="E10" s="631" t="s">
        <v>579</v>
      </c>
      <c r="F10" s="631" t="s">
        <v>579</v>
      </c>
      <c r="G10" s="631"/>
    </row>
    <row r="11" spans="1:7" hidden="1">
      <c r="A11" s="629" t="s">
        <v>480</v>
      </c>
      <c r="B11" s="630"/>
      <c r="C11" s="631">
        <v>850</v>
      </c>
      <c r="D11" s="631">
        <v>850</v>
      </c>
      <c r="E11" s="631" t="s">
        <v>583</v>
      </c>
      <c r="F11" s="631" t="s">
        <v>583</v>
      </c>
      <c r="G11" s="631"/>
    </row>
    <row r="12" spans="1:7" hidden="1">
      <c r="A12" s="629" t="s">
        <v>313</v>
      </c>
      <c r="B12" s="630">
        <v>2040</v>
      </c>
      <c r="C12" s="631"/>
      <c r="D12" s="631">
        <v>1000</v>
      </c>
      <c r="E12" s="631" t="s">
        <v>579</v>
      </c>
      <c r="F12" s="631" t="s">
        <v>579</v>
      </c>
      <c r="G12" s="631"/>
    </row>
    <row r="13" spans="1:7" hidden="1">
      <c r="A13" s="629" t="s">
        <v>369</v>
      </c>
      <c r="B13" s="630">
        <v>2280</v>
      </c>
      <c r="C13" s="631"/>
      <c r="D13" s="631">
        <v>1000</v>
      </c>
      <c r="E13" s="631" t="s">
        <v>579</v>
      </c>
      <c r="F13" s="631" t="s">
        <v>579</v>
      </c>
      <c r="G13" s="631"/>
    </row>
    <row r="14" spans="1:7" hidden="1">
      <c r="A14" s="629" t="s">
        <v>316</v>
      </c>
      <c r="B14" s="630">
        <v>3200</v>
      </c>
      <c r="C14" s="631">
        <v>1500</v>
      </c>
      <c r="D14" s="631">
        <v>1200</v>
      </c>
      <c r="E14" s="631" t="s">
        <v>585</v>
      </c>
      <c r="F14" s="631" t="s">
        <v>585</v>
      </c>
      <c r="G14" s="631"/>
    </row>
    <row r="15" spans="1:7">
      <c r="A15" s="629" t="s">
        <v>315</v>
      </c>
      <c r="B15" s="630">
        <v>4000</v>
      </c>
      <c r="C15" s="631">
        <v>4000</v>
      </c>
      <c r="D15" s="631">
        <v>4500</v>
      </c>
      <c r="E15" s="631">
        <v>4500</v>
      </c>
      <c r="F15" s="631">
        <v>5000</v>
      </c>
      <c r="G15" s="631">
        <v>6000</v>
      </c>
    </row>
    <row r="16" spans="1:7" hidden="1">
      <c r="A16" s="629" t="s">
        <v>317</v>
      </c>
      <c r="B16" s="630">
        <v>1500</v>
      </c>
      <c r="C16" s="631"/>
      <c r="D16" s="631">
        <v>600</v>
      </c>
      <c r="E16" s="631" t="s">
        <v>583</v>
      </c>
      <c r="F16" s="631" t="s">
        <v>583</v>
      </c>
      <c r="G16" s="631"/>
    </row>
    <row r="17" spans="1:7">
      <c r="A17" s="629" t="s">
        <v>314</v>
      </c>
      <c r="B17" s="630">
        <v>3000</v>
      </c>
      <c r="C17" s="631">
        <v>3000</v>
      </c>
      <c r="D17" s="631">
        <f>3000-1235</f>
        <v>1765</v>
      </c>
      <c r="E17" s="631">
        <v>3000</v>
      </c>
      <c r="F17" s="631">
        <v>3000</v>
      </c>
      <c r="G17" s="631">
        <v>4500</v>
      </c>
    </row>
    <row r="18" spans="1:7" hidden="1">
      <c r="A18" s="629" t="s">
        <v>392</v>
      </c>
      <c r="B18" s="630">
        <v>1400</v>
      </c>
      <c r="C18" s="631">
        <v>4500</v>
      </c>
      <c r="D18" s="631">
        <v>3000</v>
      </c>
      <c r="E18" s="632" t="s">
        <v>581</v>
      </c>
      <c r="F18" s="632" t="s">
        <v>581</v>
      </c>
      <c r="G18" s="632"/>
    </row>
    <row r="19" spans="1:7" hidden="1">
      <c r="A19" s="629" t="s">
        <v>577</v>
      </c>
      <c r="B19" s="630">
        <v>1400</v>
      </c>
      <c r="C19" s="632">
        <v>3000</v>
      </c>
      <c r="D19" s="632">
        <v>1500</v>
      </c>
      <c r="E19" s="632" t="s">
        <v>581</v>
      </c>
      <c r="F19" s="632" t="s">
        <v>581</v>
      </c>
      <c r="G19" s="632"/>
    </row>
    <row r="20" spans="1:7" hidden="1">
      <c r="A20" s="629" t="s">
        <v>393</v>
      </c>
      <c r="B20" s="630"/>
      <c r="C20" s="632">
        <v>2500</v>
      </c>
      <c r="D20" s="632">
        <v>2500</v>
      </c>
      <c r="E20" s="632" t="s">
        <v>581</v>
      </c>
      <c r="F20" s="632" t="s">
        <v>581</v>
      </c>
      <c r="G20" s="632"/>
    </row>
    <row r="21" spans="1:7" hidden="1">
      <c r="A21" s="629" t="s">
        <v>394</v>
      </c>
      <c r="B21" s="630"/>
      <c r="C21" s="632">
        <v>4000</v>
      </c>
      <c r="D21" s="632">
        <v>4000</v>
      </c>
      <c r="E21" s="632" t="s">
        <v>581</v>
      </c>
      <c r="F21" s="632" t="s">
        <v>581</v>
      </c>
      <c r="G21" s="632"/>
    </row>
    <row r="22" spans="1:7">
      <c r="A22" s="629" t="s">
        <v>395</v>
      </c>
      <c r="B22" s="633"/>
      <c r="C22" s="631">
        <v>4500</v>
      </c>
      <c r="D22" s="631">
        <v>3000</v>
      </c>
      <c r="E22" s="632">
        <v>2500</v>
      </c>
      <c r="F22" s="632">
        <v>2500</v>
      </c>
      <c r="G22" s="632">
        <v>2500</v>
      </c>
    </row>
    <row r="23" spans="1:7">
      <c r="A23" s="684" t="s">
        <v>578</v>
      </c>
      <c r="B23" s="634"/>
      <c r="C23" s="631">
        <v>900</v>
      </c>
      <c r="D23" s="631">
        <v>1500</v>
      </c>
      <c r="E23" s="631">
        <v>1500</v>
      </c>
      <c r="F23" s="631">
        <v>1500</v>
      </c>
      <c r="G23" s="631">
        <v>2500</v>
      </c>
    </row>
    <row r="24" spans="1:7">
      <c r="A24" s="684" t="s">
        <v>643</v>
      </c>
      <c r="B24" s="630"/>
      <c r="C24" s="631"/>
      <c r="D24" s="631">
        <v>3000</v>
      </c>
      <c r="E24" s="631">
        <v>20000</v>
      </c>
      <c r="F24" s="631">
        <v>35000</v>
      </c>
      <c r="G24" s="631">
        <v>40000</v>
      </c>
    </row>
    <row r="25" spans="1:7">
      <c r="A25" s="684" t="s">
        <v>576</v>
      </c>
      <c r="B25" s="630"/>
      <c r="C25" s="631"/>
      <c r="D25" s="631"/>
      <c r="E25" s="631">
        <v>4700</v>
      </c>
      <c r="F25" s="631">
        <v>2500</v>
      </c>
      <c r="G25" s="631">
        <v>1500</v>
      </c>
    </row>
    <row r="26" spans="1:7">
      <c r="A26" s="684" t="s">
        <v>580</v>
      </c>
      <c r="B26" s="630"/>
      <c r="C26" s="631"/>
      <c r="D26" s="631"/>
      <c r="E26" s="631">
        <v>13100</v>
      </c>
      <c r="F26" s="631">
        <v>11000</v>
      </c>
      <c r="G26" s="631">
        <v>11000</v>
      </c>
    </row>
    <row r="27" spans="1:7">
      <c r="A27" s="684" t="s">
        <v>582</v>
      </c>
      <c r="B27" s="630"/>
      <c r="C27" s="631"/>
      <c r="D27" s="631"/>
      <c r="E27" s="631">
        <v>1450</v>
      </c>
      <c r="F27" s="631">
        <f>(40*25)+600</f>
        <v>1600</v>
      </c>
      <c r="G27" s="631">
        <v>2000</v>
      </c>
    </row>
    <row r="28" spans="1:7">
      <c r="A28" s="684" t="s">
        <v>584</v>
      </c>
      <c r="B28" s="630"/>
      <c r="C28" s="631"/>
      <c r="D28" s="631"/>
      <c r="E28" s="631">
        <v>3900</v>
      </c>
      <c r="F28" s="631">
        <v>5000</v>
      </c>
      <c r="G28" s="631">
        <v>5000</v>
      </c>
    </row>
    <row r="29" spans="1:7">
      <c r="A29" s="684" t="s">
        <v>646</v>
      </c>
      <c r="B29" s="630"/>
      <c r="C29" s="631"/>
      <c r="D29" s="631"/>
      <c r="E29" s="631"/>
      <c r="F29" s="631">
        <v>2800</v>
      </c>
      <c r="G29" s="631">
        <v>0</v>
      </c>
    </row>
    <row r="30" spans="1:7">
      <c r="A30" s="684" t="s">
        <v>730</v>
      </c>
      <c r="B30" s="630"/>
      <c r="C30" s="631"/>
      <c r="D30" s="631"/>
      <c r="E30" s="631"/>
      <c r="F30" s="631"/>
      <c r="G30" s="631">
        <v>6000</v>
      </c>
    </row>
    <row r="31" spans="1:7">
      <c r="A31" s="684"/>
      <c r="B31" s="630">
        <v>-22000</v>
      </c>
      <c r="C31" s="631"/>
      <c r="D31" s="631"/>
      <c r="E31" s="631"/>
      <c r="F31" s="631"/>
      <c r="G31" s="631"/>
    </row>
    <row r="32" spans="1:7" ht="17.25" thickBot="1">
      <c r="A32" s="645" t="s">
        <v>131</v>
      </c>
      <c r="B32" s="646">
        <f t="shared" ref="B32:G32" si="0">SUM(B4:B31)</f>
        <v>3610</v>
      </c>
      <c r="C32" s="646">
        <f t="shared" si="0"/>
        <v>36275</v>
      </c>
      <c r="D32" s="646">
        <f t="shared" si="0"/>
        <v>40615</v>
      </c>
      <c r="E32" s="646">
        <f t="shared" si="0"/>
        <v>58650</v>
      </c>
      <c r="F32" s="646">
        <f t="shared" si="0"/>
        <v>73400</v>
      </c>
      <c r="G32" s="646">
        <f t="shared" si="0"/>
        <v>84500</v>
      </c>
    </row>
    <row r="33" ht="17.25" thickTop="1"/>
  </sheetData>
  <sortState ref="A30:E48">
    <sortCondition ref="A30:A48"/>
  </sortState>
  <phoneticPr fontId="19" type="noConversion"/>
  <printOptions horizontalCentered="1"/>
  <pageMargins left="0.5" right="0.25" top="0.5" bottom="0.5" header="0.5" footer="0.5"/>
  <pageSetup orientation="portrait" r:id="rId1"/>
  <headerFooter alignWithMargins="0"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pane ySplit="3" topLeftCell="A4" activePane="bottomLeft" state="frozen"/>
      <selection pane="bottomLeft"/>
    </sheetView>
  </sheetViews>
  <sheetFormatPr defaultColWidth="11.140625" defaultRowHeight="18.75" customHeight="1"/>
  <cols>
    <col min="1" max="1" width="6.5703125" style="105" customWidth="1"/>
    <col min="2" max="2" width="24.85546875" style="66" customWidth="1"/>
    <col min="3" max="4" width="12" style="26" hidden="1" customWidth="1"/>
    <col min="5" max="7" width="12" style="26" customWidth="1"/>
    <col min="8" max="8" width="12.85546875" style="26" bestFit="1" customWidth="1"/>
    <col min="9" max="9" width="12.28515625" style="26" bestFit="1" customWidth="1"/>
    <col min="10" max="10" width="11.140625" style="26"/>
    <col min="11" max="11" width="12.85546875" style="26" bestFit="1" customWidth="1"/>
    <col min="12" max="16384" width="11.140625" style="26"/>
  </cols>
  <sheetData>
    <row r="1" spans="1:11" s="101" customFormat="1" ht="18.75" customHeight="1">
      <c r="A1" s="661"/>
      <c r="B1" s="662" t="s">
        <v>536</v>
      </c>
      <c r="C1" s="662" t="s">
        <v>483</v>
      </c>
      <c r="D1" s="662" t="s">
        <v>484</v>
      </c>
      <c r="E1" s="662"/>
      <c r="F1" s="662"/>
      <c r="G1" s="662"/>
      <c r="H1" s="662"/>
    </row>
    <row r="2" spans="1:11" ht="18.75" customHeight="1">
      <c r="A2" s="144"/>
      <c r="B2" s="412"/>
      <c r="C2" s="353" t="s">
        <v>452</v>
      </c>
      <c r="D2" s="353"/>
      <c r="E2" s="293"/>
      <c r="F2" s="293"/>
      <c r="G2" s="293"/>
      <c r="H2" s="293"/>
    </row>
    <row r="3" spans="1:11" s="101" customFormat="1" ht="18.75" customHeight="1">
      <c r="A3" s="410"/>
      <c r="B3" s="413" t="s">
        <v>133</v>
      </c>
      <c r="C3" s="277">
        <v>2010</v>
      </c>
      <c r="D3" s="277">
        <v>2013</v>
      </c>
      <c r="E3" s="663">
        <v>2014</v>
      </c>
      <c r="F3" s="663">
        <v>2015</v>
      </c>
      <c r="G3" s="663">
        <v>2016</v>
      </c>
      <c r="H3" s="663">
        <v>2017</v>
      </c>
    </row>
    <row r="4" spans="1:11" s="278" customFormat="1" ht="24.95" customHeight="1">
      <c r="A4" s="352">
        <v>407</v>
      </c>
      <c r="B4" s="414" t="s">
        <v>47</v>
      </c>
      <c r="C4" s="557">
        <v>6797.47</v>
      </c>
      <c r="D4" s="664">
        <v>7500</v>
      </c>
      <c r="E4" s="926">
        <v>15200</v>
      </c>
      <c r="F4" s="926">
        <v>11100</v>
      </c>
      <c r="G4" s="926">
        <v>8700</v>
      </c>
      <c r="H4" s="926">
        <f>4050*2</f>
        <v>8100</v>
      </c>
      <c r="I4" s="740"/>
    </row>
    <row r="5" spans="1:11" s="101" customFormat="1" ht="31.5" customHeight="1">
      <c r="A5" s="352" t="s">
        <v>94</v>
      </c>
      <c r="B5" s="415" t="s">
        <v>347</v>
      </c>
      <c r="C5" s="558">
        <v>2079268.31</v>
      </c>
      <c r="D5" s="665">
        <v>2024884</v>
      </c>
      <c r="E5" s="927">
        <v>2073137</v>
      </c>
      <c r="F5" s="927">
        <v>2140914</v>
      </c>
      <c r="G5" s="927">
        <f>25855208.63*0.09</f>
        <v>2326968.7766999998</v>
      </c>
      <c r="H5" s="927">
        <f>28818430.97*0.1</f>
        <v>2881843.0970000001</v>
      </c>
      <c r="I5" s="945">
        <f>H5+H6+H7</f>
        <v>2881843.0970000001</v>
      </c>
    </row>
    <row r="6" spans="1:11" s="101" customFormat="1" ht="24.95" customHeight="1">
      <c r="A6" s="352" t="s">
        <v>95</v>
      </c>
      <c r="B6" s="414" t="s">
        <v>97</v>
      </c>
      <c r="C6" s="560">
        <v>17084.2</v>
      </c>
      <c r="D6" s="666">
        <v>10175</v>
      </c>
      <c r="E6" s="928"/>
      <c r="F6" s="928"/>
      <c r="G6" s="928"/>
      <c r="H6" s="928"/>
      <c r="I6" s="946"/>
    </row>
    <row r="7" spans="1:11" s="101" customFormat="1" ht="24.95" customHeight="1">
      <c r="A7" s="352" t="s">
        <v>96</v>
      </c>
      <c r="B7" s="414" t="s">
        <v>87</v>
      </c>
      <c r="C7" s="461">
        <v>384.14</v>
      </c>
      <c r="D7" s="667"/>
      <c r="E7" s="929"/>
      <c r="F7" s="929"/>
      <c r="G7" s="929"/>
      <c r="H7" s="929"/>
      <c r="I7" s="947"/>
    </row>
    <row r="8" spans="1:11" s="101" customFormat="1" ht="24.95" customHeight="1">
      <c r="A8" s="352">
        <v>415</v>
      </c>
      <c r="B8" s="414" t="s">
        <v>98</v>
      </c>
      <c r="C8" s="561">
        <v>1593158.56</v>
      </c>
      <c r="D8" s="668">
        <v>1644578</v>
      </c>
      <c r="E8" s="926">
        <v>1685692</v>
      </c>
      <c r="F8" s="926">
        <v>2187099</v>
      </c>
      <c r="G8" s="926">
        <f>2191383+200000</f>
        <v>2391383</v>
      </c>
      <c r="H8" s="926">
        <f>G8*1.04</f>
        <v>2487038.3200000003</v>
      </c>
      <c r="I8" s="741"/>
      <c r="K8" s="944"/>
    </row>
    <row r="9" spans="1:11" s="101" customFormat="1" ht="24.95" customHeight="1">
      <c r="A9" s="352">
        <v>435</v>
      </c>
      <c r="B9" s="414" t="s">
        <v>88</v>
      </c>
      <c r="C9" s="559">
        <v>2650</v>
      </c>
      <c r="D9" s="665">
        <v>2900</v>
      </c>
      <c r="E9" s="927">
        <v>2900</v>
      </c>
      <c r="F9" s="927">
        <v>3600</v>
      </c>
      <c r="G9" s="927">
        <v>3600</v>
      </c>
      <c r="H9" s="927">
        <v>3600</v>
      </c>
      <c r="I9" s="945">
        <f>SUM(H9:H11)</f>
        <v>13600</v>
      </c>
    </row>
    <row r="10" spans="1:11" s="101" customFormat="1" ht="24.95" customHeight="1">
      <c r="A10" s="352">
        <v>435</v>
      </c>
      <c r="B10" s="414" t="s">
        <v>89</v>
      </c>
      <c r="C10" s="560">
        <v>1490</v>
      </c>
      <c r="D10" s="666">
        <v>10000</v>
      </c>
      <c r="E10" s="928">
        <v>7000</v>
      </c>
      <c r="F10" s="928">
        <f>5000+3000</f>
        <v>8000</v>
      </c>
      <c r="G10" s="928">
        <v>8000</v>
      </c>
      <c r="H10" s="928">
        <v>10000</v>
      </c>
      <c r="I10" s="946"/>
    </row>
    <row r="11" spans="1:11" s="101" customFormat="1" ht="24.95" customHeight="1">
      <c r="A11" s="352">
        <v>450</v>
      </c>
      <c r="B11" s="414" t="s">
        <v>451</v>
      </c>
      <c r="C11" s="461">
        <v>448</v>
      </c>
      <c r="D11" s="667">
        <v>500</v>
      </c>
      <c r="E11" s="929">
        <v>200</v>
      </c>
      <c r="F11" s="929">
        <v>200</v>
      </c>
      <c r="G11" s="929">
        <v>100</v>
      </c>
      <c r="H11" s="929"/>
      <c r="I11" s="947"/>
    </row>
    <row r="12" spans="1:11" s="101" customFormat="1" ht="24.95" customHeight="1">
      <c r="A12" s="352">
        <v>460</v>
      </c>
      <c r="B12" s="414" t="s">
        <v>240</v>
      </c>
      <c r="C12" s="559">
        <v>450</v>
      </c>
      <c r="D12" s="669">
        <v>4000</v>
      </c>
      <c r="E12" s="927">
        <v>4000</v>
      </c>
      <c r="F12" s="927">
        <v>2000</v>
      </c>
      <c r="G12" s="927">
        <v>2000</v>
      </c>
      <c r="H12" s="927">
        <v>2000</v>
      </c>
      <c r="I12" s="945">
        <f>SUM(H12:H14)</f>
        <v>134400</v>
      </c>
    </row>
    <row r="13" spans="1:11" s="101" customFormat="1" ht="24.95" customHeight="1">
      <c r="A13" s="352">
        <v>470</v>
      </c>
      <c r="B13" s="416" t="s">
        <v>679</v>
      </c>
      <c r="C13" s="560">
        <v>124555</v>
      </c>
      <c r="D13" s="670">
        <v>144000</v>
      </c>
      <c r="E13" s="928">
        <v>147600</v>
      </c>
      <c r="F13" s="928">
        <f>30*4050</f>
        <v>121500</v>
      </c>
      <c r="G13" s="928">
        <f>28*4050</f>
        <v>113400</v>
      </c>
      <c r="H13" s="928">
        <v>97200</v>
      </c>
      <c r="I13" s="946"/>
    </row>
    <row r="14" spans="1:11" s="101" customFormat="1" ht="30" customHeight="1">
      <c r="A14" s="352">
        <v>471</v>
      </c>
      <c r="B14" s="416" t="s">
        <v>305</v>
      </c>
      <c r="C14" s="461">
        <v>34455.75</v>
      </c>
      <c r="D14" s="671">
        <v>42000</v>
      </c>
      <c r="E14" s="929">
        <v>49200</v>
      </c>
      <c r="F14" s="929">
        <f>48*1100</f>
        <v>52800</v>
      </c>
      <c r="G14" s="929">
        <f>48*1100</f>
        <v>52800</v>
      </c>
      <c r="H14" s="929">
        <v>35200</v>
      </c>
      <c r="I14" s="947"/>
    </row>
    <row r="15" spans="1:11" s="101" customFormat="1" ht="30" customHeight="1">
      <c r="A15" s="352">
        <v>475</v>
      </c>
      <c r="B15" s="416" t="s">
        <v>90</v>
      </c>
      <c r="C15" s="562">
        <v>6488.95</v>
      </c>
      <c r="D15" s="664">
        <v>10100</v>
      </c>
      <c r="E15" s="926">
        <v>15000</v>
      </c>
      <c r="F15" s="926"/>
      <c r="G15" s="926"/>
      <c r="H15" s="926"/>
      <c r="I15" s="741"/>
    </row>
    <row r="16" spans="1:11" s="101" customFormat="1" ht="24.95" customHeight="1">
      <c r="A16" s="352">
        <v>477</v>
      </c>
      <c r="B16" s="414" t="s">
        <v>241</v>
      </c>
      <c r="C16" s="559">
        <v>2500</v>
      </c>
      <c r="D16" s="669">
        <v>0</v>
      </c>
      <c r="E16" s="927"/>
      <c r="F16" s="927"/>
      <c r="G16" s="927"/>
      <c r="H16" s="927"/>
      <c r="I16" s="945">
        <f>SUM(H16:H17)</f>
        <v>2500</v>
      </c>
    </row>
    <row r="17" spans="1:9" s="101" customFormat="1" ht="24.95" customHeight="1">
      <c r="A17" s="352">
        <v>480</v>
      </c>
      <c r="B17" s="414" t="s">
        <v>237</v>
      </c>
      <c r="C17" s="461">
        <v>1250</v>
      </c>
      <c r="D17" s="667">
        <v>2500</v>
      </c>
      <c r="E17" s="929">
        <v>2500</v>
      </c>
      <c r="F17" s="929">
        <v>2500</v>
      </c>
      <c r="G17" s="929">
        <v>2500</v>
      </c>
      <c r="H17" s="929">
        <v>2500</v>
      </c>
      <c r="I17" s="947"/>
    </row>
    <row r="18" spans="1:9" s="101" customFormat="1" ht="24.95" customHeight="1">
      <c r="A18" s="352">
        <v>485</v>
      </c>
      <c r="B18" s="414" t="s">
        <v>91</v>
      </c>
      <c r="C18" s="559">
        <v>124</v>
      </c>
      <c r="D18" s="665">
        <v>0</v>
      </c>
      <c r="E18" s="927">
        <v>300000</v>
      </c>
      <c r="F18" s="927"/>
      <c r="G18" s="927">
        <v>775000</v>
      </c>
      <c r="H18" s="927">
        <v>695000</v>
      </c>
      <c r="I18" s="948">
        <f>SUM(H18:H22)</f>
        <v>697000</v>
      </c>
    </row>
    <row r="19" spans="1:9" s="101" customFormat="1" ht="24.95" customHeight="1">
      <c r="A19" s="352">
        <v>487</v>
      </c>
      <c r="B19" s="414" t="s">
        <v>688</v>
      </c>
      <c r="C19" s="563">
        <v>2280.4</v>
      </c>
      <c r="D19" s="666">
        <v>3400</v>
      </c>
      <c r="E19" s="928">
        <v>2200</v>
      </c>
      <c r="F19" s="928">
        <v>2400</v>
      </c>
      <c r="G19" s="928">
        <v>2000</v>
      </c>
      <c r="H19" s="928">
        <v>2000</v>
      </c>
      <c r="I19" s="946"/>
    </row>
    <row r="20" spans="1:9" s="101" customFormat="1" ht="24.95" customHeight="1">
      <c r="A20" s="352">
        <v>490</v>
      </c>
      <c r="B20" s="414" t="s">
        <v>92</v>
      </c>
      <c r="C20" s="560">
        <v>6004.64</v>
      </c>
      <c r="D20" s="666">
        <v>0</v>
      </c>
      <c r="E20" s="928"/>
      <c r="F20" s="928"/>
      <c r="G20" s="928"/>
      <c r="H20" s="928"/>
      <c r="I20" s="946"/>
    </row>
    <row r="21" spans="1:9" s="101" customFormat="1" ht="24.95" customHeight="1">
      <c r="A21" s="352">
        <v>493</v>
      </c>
      <c r="B21" s="414" t="s">
        <v>379</v>
      </c>
      <c r="C21" s="560">
        <v>276.60000000000002</v>
      </c>
      <c r="D21" s="666">
        <v>0</v>
      </c>
      <c r="E21" s="928"/>
      <c r="F21" s="928"/>
      <c r="G21" s="928"/>
      <c r="H21" s="928"/>
      <c r="I21" s="946"/>
    </row>
    <row r="22" spans="1:9" s="101" customFormat="1" ht="24.95" customHeight="1">
      <c r="A22" s="352">
        <v>499</v>
      </c>
      <c r="B22" s="414" t="s">
        <v>93</v>
      </c>
      <c r="C22" s="461"/>
      <c r="D22" s="671">
        <v>55000</v>
      </c>
      <c r="E22" s="929">
        <v>80000</v>
      </c>
      <c r="F22" s="929"/>
      <c r="G22" s="929">
        <f>25000+5000</f>
        <v>30000</v>
      </c>
      <c r="H22" s="929"/>
      <c r="I22" s="947"/>
    </row>
    <row r="23" spans="1:9" s="101" customFormat="1" ht="24.95" hidden="1" customHeight="1">
      <c r="A23" s="352">
        <v>495</v>
      </c>
      <c r="B23" s="417" t="s">
        <v>346</v>
      </c>
      <c r="C23" s="563">
        <v>0</v>
      </c>
      <c r="D23" s="664">
        <v>0</v>
      </c>
      <c r="E23" s="926"/>
      <c r="F23" s="926"/>
      <c r="G23" s="926"/>
      <c r="H23" s="926"/>
      <c r="I23" s="742"/>
    </row>
    <row r="24" spans="1:9" s="101" customFormat="1" ht="13.5" customHeight="1" thickBot="1">
      <c r="A24" s="411"/>
      <c r="B24" s="418"/>
      <c r="D24" s="664"/>
      <c r="E24" s="926"/>
      <c r="F24" s="926"/>
      <c r="G24" s="926"/>
      <c r="H24" s="926"/>
      <c r="I24" s="742"/>
    </row>
    <row r="25" spans="1:9" s="101" customFormat="1" ht="18.75" customHeight="1" thickTop="1">
      <c r="A25" s="145"/>
      <c r="B25" s="351" t="s">
        <v>131</v>
      </c>
      <c r="C25" s="143">
        <f t="shared" ref="C25:H25" si="0">SUM(C4:C24)</f>
        <v>3879666.0200000005</v>
      </c>
      <c r="D25" s="332">
        <f t="shared" si="0"/>
        <v>3961537</v>
      </c>
      <c r="E25" s="143">
        <f t="shared" si="0"/>
        <v>4384629</v>
      </c>
      <c r="F25" s="143">
        <f t="shared" si="0"/>
        <v>4532113</v>
      </c>
      <c r="G25" s="143">
        <f t="shared" si="0"/>
        <v>5716451.7766999993</v>
      </c>
      <c r="H25" s="143">
        <f t="shared" si="0"/>
        <v>6224481.4170000004</v>
      </c>
    </row>
    <row r="26" spans="1:9" s="101" customFormat="1" ht="16.5">
      <c r="A26" s="105"/>
      <c r="B26" s="17"/>
      <c r="C26" s="48"/>
      <c r="D26" s="48"/>
    </row>
    <row r="27" spans="1:9" ht="12.95" customHeight="1">
      <c r="A27" s="26"/>
      <c r="B27" s="26"/>
    </row>
    <row r="28" spans="1:9" ht="18" customHeight="1">
      <c r="A28" s="26"/>
      <c r="B28" s="26"/>
    </row>
    <row r="29" spans="1:9" ht="9" customHeight="1">
      <c r="A29" s="26"/>
      <c r="B29" s="26"/>
    </row>
    <row r="30" spans="1:9" s="101" customFormat="1" ht="12.95" customHeight="1"/>
    <row r="31" spans="1:9" ht="9" customHeight="1">
      <c r="A31" s="26"/>
      <c r="B31" s="26"/>
    </row>
    <row r="32" spans="1:9" ht="12.95" customHeight="1">
      <c r="A32" s="26"/>
      <c r="B32" s="26"/>
    </row>
    <row r="33" spans="1:2" ht="12.95" customHeight="1">
      <c r="A33" s="26"/>
      <c r="B33" s="26"/>
    </row>
    <row r="34" spans="1:2" ht="12.95" customHeight="1">
      <c r="A34" s="26"/>
      <c r="B34" s="26"/>
    </row>
    <row r="35" spans="1:2" ht="12.95" customHeight="1">
      <c r="A35" s="26"/>
      <c r="B35" s="26"/>
    </row>
    <row r="36" spans="1:2" ht="12.95" customHeight="1">
      <c r="A36" s="26"/>
      <c r="B36" s="26"/>
    </row>
    <row r="37" spans="1:2" ht="12.95" customHeight="1">
      <c r="A37" s="26"/>
      <c r="B37" s="26"/>
    </row>
    <row r="38" spans="1:2" ht="18.75" customHeight="1">
      <c r="A38" s="26"/>
      <c r="B38" s="26"/>
    </row>
    <row r="39" spans="1:2" ht="18.75" customHeight="1">
      <c r="A39" s="26"/>
      <c r="B39" s="26"/>
    </row>
    <row r="40" spans="1:2" ht="18.75" customHeight="1">
      <c r="A40" s="26"/>
      <c r="B40" s="26"/>
    </row>
    <row r="41" spans="1:2" ht="18.75" customHeight="1">
      <c r="A41" s="26"/>
      <c r="B41" s="26"/>
    </row>
    <row r="42" spans="1:2" ht="18.75" customHeight="1">
      <c r="A42" s="26"/>
      <c r="B42" s="26"/>
    </row>
    <row r="43" spans="1:2" ht="10.5" customHeight="1">
      <c r="A43" s="26"/>
      <c r="B43" s="26"/>
    </row>
    <row r="44" spans="1:2" ht="18.75" customHeight="1">
      <c r="A44" s="26"/>
      <c r="B44" s="26"/>
    </row>
    <row r="45" spans="1:2" ht="18.75" customHeight="1">
      <c r="A45" s="26"/>
      <c r="B45" s="26"/>
    </row>
    <row r="46" spans="1:2" ht="18.75" customHeight="1">
      <c r="A46" s="26"/>
      <c r="B46" s="26"/>
    </row>
    <row r="47" spans="1:2" ht="18.75" customHeight="1">
      <c r="A47" s="26"/>
      <c r="B47" s="26"/>
    </row>
    <row r="48" spans="1:2" ht="18.75" customHeight="1">
      <c r="A48" s="26"/>
      <c r="B48" s="26"/>
    </row>
    <row r="49" spans="1:2" ht="18.75" customHeight="1">
      <c r="A49" s="26"/>
      <c r="B49" s="26"/>
    </row>
    <row r="50" spans="1:2" ht="18.75" customHeight="1">
      <c r="A50" s="26"/>
      <c r="B50" s="26"/>
    </row>
    <row r="51" spans="1:2" ht="18.75" customHeight="1">
      <c r="A51" s="26"/>
      <c r="B51" s="26"/>
    </row>
    <row r="52" spans="1:2" ht="18.75" customHeight="1">
      <c r="A52" s="26"/>
      <c r="B52" s="26"/>
    </row>
    <row r="53" spans="1:2" ht="18.75" customHeight="1">
      <c r="A53" s="26"/>
      <c r="B53" s="26"/>
    </row>
    <row r="54" spans="1:2" ht="18.75" customHeight="1">
      <c r="A54" s="26"/>
      <c r="B54" s="26"/>
    </row>
    <row r="55" spans="1:2" ht="18.75" customHeight="1">
      <c r="A55" s="26"/>
      <c r="B55" s="26"/>
    </row>
    <row r="56" spans="1:2" ht="18.75" customHeight="1">
      <c r="A56" s="26"/>
      <c r="B56" s="26"/>
    </row>
  </sheetData>
  <mergeCells count="5">
    <mergeCell ref="I5:I7"/>
    <mergeCell ref="I9:I11"/>
    <mergeCell ref="I12:I14"/>
    <mergeCell ref="I16:I17"/>
    <mergeCell ref="I18:I22"/>
  </mergeCells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39" customWidth="1"/>
    <col min="2" max="2" width="9.28515625" hidden="1" customWidth="1"/>
    <col min="3" max="3" width="10.28515625" hidden="1" customWidth="1"/>
    <col min="4" max="4" width="9.5703125" customWidth="1"/>
    <col min="6" max="6" width="9.85546875" bestFit="1" customWidth="1"/>
    <col min="7" max="7" width="10.28515625" customWidth="1"/>
    <col min="8" max="8" width="14.85546875" bestFit="1" customWidth="1"/>
  </cols>
  <sheetData>
    <row r="1" spans="1:8" ht="18.95" customHeight="1">
      <c r="A1" s="286" t="s">
        <v>587</v>
      </c>
      <c r="B1" s="286"/>
      <c r="C1" s="286"/>
      <c r="D1" s="286"/>
      <c r="E1" s="286"/>
      <c r="F1" s="286"/>
      <c r="G1" s="286"/>
    </row>
    <row r="2" spans="1:8" ht="18.95" customHeight="1">
      <c r="A2" s="117" t="s">
        <v>133</v>
      </c>
      <c r="B2" s="117">
        <v>2010</v>
      </c>
      <c r="C2" s="117">
        <v>2013</v>
      </c>
      <c r="D2" s="117">
        <v>2014</v>
      </c>
      <c r="E2" s="117">
        <v>2015</v>
      </c>
      <c r="F2" s="117">
        <v>2016</v>
      </c>
      <c r="G2" s="117">
        <v>2017</v>
      </c>
    </row>
    <row r="3" spans="1:8" ht="18.75" customHeight="1">
      <c r="A3" s="323"/>
      <c r="B3" s="323"/>
      <c r="C3" s="323"/>
      <c r="D3" s="323"/>
      <c r="E3" s="323"/>
      <c r="F3" s="323"/>
      <c r="G3" s="323"/>
      <c r="H3" s="269"/>
    </row>
    <row r="4" spans="1:8" ht="24.95" customHeight="1">
      <c r="A4" s="248" t="s">
        <v>335</v>
      </c>
      <c r="B4" s="204">
        <v>600</v>
      </c>
      <c r="C4" s="204">
        <v>750</v>
      </c>
      <c r="D4" s="204">
        <v>800</v>
      </c>
      <c r="E4" s="204">
        <v>1000</v>
      </c>
      <c r="F4" s="204">
        <v>1200</v>
      </c>
      <c r="G4" s="204">
        <v>1200</v>
      </c>
      <c r="H4" s="285" t="s">
        <v>758</v>
      </c>
    </row>
    <row r="5" spans="1:8" ht="24.95" customHeight="1">
      <c r="A5" s="326" t="s">
        <v>557</v>
      </c>
      <c r="B5" s="204">
        <v>1000</v>
      </c>
      <c r="C5" s="204">
        <v>400</v>
      </c>
      <c r="D5" s="204">
        <v>800</v>
      </c>
      <c r="E5" s="204">
        <v>1200</v>
      </c>
      <c r="F5" s="204">
        <v>1400</v>
      </c>
      <c r="G5" s="204">
        <v>1500</v>
      </c>
      <c r="H5" s="24"/>
    </row>
    <row r="6" spans="1:8" ht="24.95" customHeight="1">
      <c r="A6" s="325" t="s">
        <v>715</v>
      </c>
      <c r="B6" s="244">
        <v>5600</v>
      </c>
      <c r="C6" s="244">
        <v>8000</v>
      </c>
      <c r="D6" s="244">
        <v>5000</v>
      </c>
      <c r="E6" s="244">
        <v>8000</v>
      </c>
      <c r="F6" s="244">
        <v>12000</v>
      </c>
      <c r="G6" s="244">
        <f>(400*4)+(400*3)+(300*5*4)+(100*5*4)</f>
        <v>10800</v>
      </c>
      <c r="H6" s="24" t="s">
        <v>745</v>
      </c>
    </row>
    <row r="7" spans="1:8" ht="24.95" customHeight="1">
      <c r="A7" s="248" t="s">
        <v>721</v>
      </c>
      <c r="B7" s="204">
        <v>400</v>
      </c>
      <c r="C7" s="204">
        <v>300</v>
      </c>
      <c r="D7" s="204">
        <v>400</v>
      </c>
      <c r="E7" s="204">
        <v>500</v>
      </c>
      <c r="F7" s="204">
        <v>600</v>
      </c>
      <c r="G7" s="204">
        <v>500</v>
      </c>
      <c r="H7" s="24"/>
    </row>
    <row r="8" spans="1:8" ht="24.95" hidden="1" customHeight="1">
      <c r="A8" s="53" t="s">
        <v>334</v>
      </c>
      <c r="B8" s="215">
        <v>350</v>
      </c>
      <c r="C8" s="215">
        <v>350</v>
      </c>
      <c r="D8" s="215">
        <v>0</v>
      </c>
      <c r="E8" s="215">
        <v>0</v>
      </c>
      <c r="F8" s="215"/>
      <c r="G8" s="215"/>
      <c r="H8" s="24"/>
    </row>
    <row r="9" spans="1:8" ht="24.95" customHeight="1">
      <c r="A9" s="294" t="s">
        <v>514</v>
      </c>
      <c r="B9" s="244">
        <v>800</v>
      </c>
      <c r="C9" s="244">
        <v>1000</v>
      </c>
      <c r="D9" s="244">
        <v>1200</v>
      </c>
      <c r="E9" s="244">
        <v>1200</v>
      </c>
      <c r="F9" s="244">
        <v>2500</v>
      </c>
      <c r="G9" s="244">
        <v>3000</v>
      </c>
      <c r="H9" s="24" t="s">
        <v>716</v>
      </c>
    </row>
    <row r="10" spans="1:8" ht="24.95" hidden="1" customHeight="1">
      <c r="A10" s="325" t="s">
        <v>338</v>
      </c>
      <c r="B10" s="244"/>
      <c r="C10" s="244">
        <v>200</v>
      </c>
      <c r="D10" s="244">
        <v>200</v>
      </c>
      <c r="E10" s="244"/>
      <c r="F10" s="244"/>
      <c r="G10" s="244"/>
      <c r="H10" s="24" t="s">
        <v>380</v>
      </c>
    </row>
    <row r="11" spans="1:8" ht="24.95" hidden="1" customHeight="1">
      <c r="A11" s="325" t="s">
        <v>336</v>
      </c>
      <c r="B11" s="244">
        <v>250</v>
      </c>
      <c r="C11" s="244">
        <v>200</v>
      </c>
      <c r="D11" s="244">
        <v>300</v>
      </c>
      <c r="E11" s="244">
        <v>300</v>
      </c>
      <c r="F11" s="244"/>
      <c r="G11" s="244"/>
      <c r="H11" s="285" t="s">
        <v>515</v>
      </c>
    </row>
    <row r="12" spans="1:8" ht="24.95" hidden="1" customHeight="1">
      <c r="A12" s="325" t="s">
        <v>337</v>
      </c>
      <c r="B12" s="244">
        <v>400</v>
      </c>
      <c r="C12" s="244">
        <v>400</v>
      </c>
      <c r="D12" s="244">
        <v>400</v>
      </c>
      <c r="E12" s="244"/>
      <c r="F12" s="244"/>
      <c r="G12" s="244"/>
      <c r="H12" s="24" t="s">
        <v>380</v>
      </c>
    </row>
    <row r="13" spans="1:8" ht="24.95" customHeight="1">
      <c r="A13" s="325" t="s">
        <v>720</v>
      </c>
      <c r="B13" s="244">
        <v>1400</v>
      </c>
      <c r="C13" s="244">
        <v>1200</v>
      </c>
      <c r="D13" s="244">
        <v>1200</v>
      </c>
      <c r="E13" s="244">
        <v>1200</v>
      </c>
      <c r="F13" s="244">
        <v>1000</v>
      </c>
      <c r="G13" s="244">
        <v>1000</v>
      </c>
      <c r="H13" s="24" t="s">
        <v>717</v>
      </c>
    </row>
    <row r="14" spans="1:8" ht="24.95" hidden="1" customHeight="1">
      <c r="A14" s="246" t="s">
        <v>22</v>
      </c>
      <c r="B14" s="215">
        <v>500</v>
      </c>
      <c r="C14" s="215"/>
      <c r="D14" s="215"/>
      <c r="E14" s="244"/>
      <c r="F14" s="244"/>
      <c r="G14" s="244"/>
      <c r="H14" s="24"/>
    </row>
    <row r="15" spans="1:8" ht="24.95" customHeight="1">
      <c r="A15" s="325" t="s">
        <v>722</v>
      </c>
      <c r="B15" s="244">
        <v>2600</v>
      </c>
      <c r="C15" s="244">
        <v>3000</v>
      </c>
      <c r="D15" s="244">
        <v>3000</v>
      </c>
      <c r="E15" s="244">
        <f>3200+6500</f>
        <v>9700</v>
      </c>
      <c r="F15" s="244">
        <v>12000</v>
      </c>
      <c r="G15" s="244">
        <v>13500</v>
      </c>
      <c r="H15" s="24" t="s">
        <v>718</v>
      </c>
    </row>
    <row r="16" spans="1:8" ht="24.95" customHeight="1">
      <c r="A16" s="327" t="s">
        <v>318</v>
      </c>
      <c r="B16" s="205">
        <v>1000</v>
      </c>
      <c r="C16" s="205">
        <v>750</v>
      </c>
      <c r="D16" s="205">
        <v>1000</v>
      </c>
      <c r="E16" s="794">
        <v>2200</v>
      </c>
      <c r="F16" s="794">
        <v>3000</v>
      </c>
      <c r="G16" s="794">
        <v>3000</v>
      </c>
      <c r="H16" s="24" t="s">
        <v>719</v>
      </c>
    </row>
    <row r="17" spans="1:8" ht="24.95" customHeight="1">
      <c r="A17" s="267" t="s">
        <v>644</v>
      </c>
      <c r="B17" s="205">
        <v>500</v>
      </c>
      <c r="C17" s="205"/>
      <c r="D17" s="205"/>
      <c r="E17" s="794"/>
      <c r="F17" s="794">
        <v>4000</v>
      </c>
      <c r="G17" s="794">
        <v>6000</v>
      </c>
      <c r="H17" s="24" t="s">
        <v>723</v>
      </c>
    </row>
    <row r="18" spans="1:8" ht="24.95" customHeight="1">
      <c r="A18" s="246" t="s">
        <v>658</v>
      </c>
      <c r="B18" s="204"/>
      <c r="C18" s="204"/>
      <c r="D18" s="204"/>
      <c r="E18" s="204"/>
      <c r="F18" s="204">
        <v>1500</v>
      </c>
      <c r="G18" s="204">
        <v>2500</v>
      </c>
      <c r="H18" s="24" t="s">
        <v>724</v>
      </c>
    </row>
    <row r="19" spans="1:8" ht="24.95" customHeight="1">
      <c r="A19" s="246" t="s">
        <v>739</v>
      </c>
      <c r="B19" s="204"/>
      <c r="C19" s="204"/>
      <c r="D19" s="204"/>
      <c r="E19" s="204"/>
      <c r="F19" s="204"/>
      <c r="G19" s="204">
        <f>(285*2)+(3*175*2)+(2*400)</f>
        <v>2420</v>
      </c>
      <c r="H19" s="24" t="s">
        <v>740</v>
      </c>
    </row>
    <row r="20" spans="1:8" ht="24.95" customHeight="1">
      <c r="A20" s="246"/>
      <c r="B20" s="204"/>
      <c r="C20" s="204"/>
      <c r="D20" s="204"/>
      <c r="E20" s="204"/>
      <c r="F20" s="204"/>
      <c r="G20" s="204"/>
      <c r="H20" s="24"/>
    </row>
    <row r="21" spans="1:8" ht="24.95" customHeight="1" thickBot="1">
      <c r="A21" s="685"/>
      <c r="B21" s="205">
        <v>-4500</v>
      </c>
      <c r="C21" s="205"/>
      <c r="D21" s="205"/>
      <c r="E21" s="205"/>
      <c r="F21" s="205"/>
      <c r="G21" s="205"/>
      <c r="H21" s="24"/>
    </row>
    <row r="22" spans="1:8" ht="24.95" customHeight="1">
      <c r="A22" s="351" t="s">
        <v>131</v>
      </c>
      <c r="B22" s="485">
        <f t="shared" ref="B22:G22" si="0">SUM(B3:B21)</f>
        <v>10900</v>
      </c>
      <c r="C22" s="485">
        <f t="shared" si="0"/>
        <v>16550</v>
      </c>
      <c r="D22" s="485">
        <f t="shared" si="0"/>
        <v>14300</v>
      </c>
      <c r="E22" s="485">
        <f t="shared" si="0"/>
        <v>25300</v>
      </c>
      <c r="F22" s="485">
        <f t="shared" si="0"/>
        <v>39200</v>
      </c>
      <c r="G22" s="485">
        <f t="shared" si="0"/>
        <v>45420</v>
      </c>
      <c r="H22" s="269"/>
    </row>
    <row r="23" spans="1:8">
      <c r="A23" s="287"/>
      <c r="B23" s="24"/>
      <c r="C23" s="24"/>
      <c r="D23" s="24"/>
      <c r="E23" s="24"/>
      <c r="F23" s="24"/>
      <c r="G23" s="24"/>
      <c r="H23" s="269"/>
    </row>
  </sheetData>
  <sortState ref="A4:E5">
    <sortCondition ref="A4: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9.85546875" style="3" customWidth="1"/>
    <col min="2" max="3" width="10.42578125" style="1" hidden="1" customWidth="1"/>
    <col min="4" max="6" width="10.42578125" style="1" customWidth="1"/>
    <col min="7" max="7" width="11.7109375" style="1" bestFit="1" customWidth="1"/>
    <col min="8" max="16384" width="9.140625" style="1"/>
  </cols>
  <sheetData>
    <row r="1" spans="1:7" s="2" customFormat="1" ht="18.75" customHeight="1">
      <c r="A1" s="286" t="s">
        <v>289</v>
      </c>
      <c r="B1" s="95"/>
      <c r="C1" s="95"/>
      <c r="D1" s="95"/>
      <c r="E1" s="95"/>
      <c r="F1" s="95"/>
      <c r="G1" s="95"/>
    </row>
    <row r="2" spans="1:7" ht="12.75" customHeight="1">
      <c r="A2" s="31"/>
      <c r="B2" s="23"/>
      <c r="C2" s="23"/>
      <c r="D2" s="30"/>
      <c r="E2" s="443"/>
      <c r="F2" s="443"/>
      <c r="G2" s="443"/>
    </row>
    <row r="3" spans="1:7" s="2" customFormat="1" ht="16.5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6" customFormat="1" ht="16.5">
      <c r="A4" s="109"/>
      <c r="B4" s="122"/>
      <c r="C4" s="122"/>
      <c r="D4" s="122"/>
      <c r="E4" s="122"/>
      <c r="F4" s="122"/>
      <c r="G4" s="122"/>
    </row>
    <row r="5" spans="1:7" ht="18.75" customHeight="1">
      <c r="A5" s="248" t="s">
        <v>280</v>
      </c>
      <c r="B5" s="215">
        <v>6925</v>
      </c>
      <c r="C5" s="215">
        <v>6500</v>
      </c>
      <c r="D5" s="215">
        <v>6500</v>
      </c>
      <c r="E5" s="215">
        <v>4500</v>
      </c>
      <c r="F5" s="215">
        <v>4500</v>
      </c>
      <c r="G5" s="215">
        <v>4100</v>
      </c>
    </row>
    <row r="6" spans="1:7" ht="18.75" customHeight="1">
      <c r="A6" s="329" t="s">
        <v>278</v>
      </c>
      <c r="B6" s="300">
        <v>725</v>
      </c>
      <c r="C6" s="300">
        <v>1500</v>
      </c>
      <c r="D6" s="300">
        <v>1200</v>
      </c>
      <c r="E6" s="300">
        <v>1200</v>
      </c>
      <c r="F6" s="300">
        <v>1200</v>
      </c>
      <c r="G6" s="300">
        <v>1200</v>
      </c>
    </row>
    <row r="7" spans="1:7" ht="18.75" customHeight="1">
      <c r="A7" s="248" t="s">
        <v>288</v>
      </c>
      <c r="B7" s="215">
        <v>4500</v>
      </c>
      <c r="C7" s="215">
        <v>3500</v>
      </c>
      <c r="D7" s="215">
        <v>3600</v>
      </c>
      <c r="E7" s="215">
        <v>3600</v>
      </c>
      <c r="F7" s="215">
        <v>3600</v>
      </c>
      <c r="G7" s="215">
        <v>3600</v>
      </c>
    </row>
    <row r="8" spans="1:7" s="2" customFormat="1" ht="18.75" customHeight="1">
      <c r="A8" s="248" t="s">
        <v>309</v>
      </c>
      <c r="B8" s="215">
        <v>4000</v>
      </c>
      <c r="C8" s="215">
        <v>3000</v>
      </c>
      <c r="D8" s="215">
        <v>3000</v>
      </c>
      <c r="E8" s="215">
        <v>3000</v>
      </c>
      <c r="F8" s="215">
        <v>3000</v>
      </c>
      <c r="G8" s="215">
        <v>3000</v>
      </c>
    </row>
    <row r="9" spans="1:7" s="2" customFormat="1" ht="18.75" customHeight="1">
      <c r="A9" s="248" t="s">
        <v>308</v>
      </c>
      <c r="B9" s="215">
        <v>2000</v>
      </c>
      <c r="C9" s="215">
        <v>2500</v>
      </c>
      <c r="D9" s="215">
        <v>2000</v>
      </c>
      <c r="E9" s="215">
        <v>2000</v>
      </c>
      <c r="F9" s="215">
        <v>2000</v>
      </c>
      <c r="G9" s="215">
        <v>2000</v>
      </c>
    </row>
    <row r="10" spans="1:7" s="2" customFormat="1" ht="18.75" customHeight="1">
      <c r="A10" s="248" t="s">
        <v>279</v>
      </c>
      <c r="B10" s="300">
        <v>2000</v>
      </c>
      <c r="C10" s="300">
        <v>2000</v>
      </c>
      <c r="D10" s="300">
        <v>2000</v>
      </c>
      <c r="E10" s="300">
        <v>2000</v>
      </c>
      <c r="F10" s="300">
        <v>2000</v>
      </c>
      <c r="G10" s="300">
        <v>2000</v>
      </c>
    </row>
    <row r="11" spans="1:7" s="2" customFormat="1" ht="18.75" customHeight="1">
      <c r="A11" s="248" t="s">
        <v>277</v>
      </c>
      <c r="B11" s="300">
        <v>2000</v>
      </c>
      <c r="C11" s="300">
        <v>2500</v>
      </c>
      <c r="D11" s="300">
        <v>2200</v>
      </c>
      <c r="E11" s="343">
        <v>2200</v>
      </c>
      <c r="F11" s="343">
        <v>3000</v>
      </c>
      <c r="G11" s="343">
        <v>3000</v>
      </c>
    </row>
    <row r="12" spans="1:7" s="2" customFormat="1" ht="18.75" customHeight="1">
      <c r="A12" s="248" t="s">
        <v>110</v>
      </c>
      <c r="B12" s="215">
        <v>900</v>
      </c>
      <c r="C12" s="215">
        <v>800</v>
      </c>
      <c r="D12" s="215">
        <v>500</v>
      </c>
      <c r="E12" s="244">
        <v>1000</v>
      </c>
      <c r="F12" s="244">
        <v>1000</v>
      </c>
      <c r="G12" s="244">
        <v>1000</v>
      </c>
    </row>
    <row r="13" spans="1:7" ht="18.75" hidden="1" customHeight="1">
      <c r="A13" s="248" t="s">
        <v>286</v>
      </c>
      <c r="B13" s="215">
        <v>34400</v>
      </c>
      <c r="C13" s="215"/>
      <c r="D13" s="215"/>
      <c r="E13" s="244"/>
      <c r="F13" s="244"/>
      <c r="G13" s="244"/>
    </row>
    <row r="14" spans="1:7" ht="18.75" hidden="1" customHeight="1">
      <c r="A14" s="248" t="s">
        <v>306</v>
      </c>
      <c r="B14" s="215">
        <v>21840</v>
      </c>
      <c r="C14" s="215"/>
      <c r="D14" s="215"/>
      <c r="E14" s="244"/>
      <c r="F14" s="244"/>
      <c r="G14" s="244"/>
    </row>
    <row r="15" spans="1:7" ht="18.75" customHeight="1">
      <c r="A15" s="248" t="s">
        <v>371</v>
      </c>
      <c r="B15" s="215">
        <v>7875</v>
      </c>
      <c r="C15" s="215">
        <v>10000</v>
      </c>
      <c r="D15" s="215">
        <v>11000</v>
      </c>
      <c r="E15" s="244">
        <v>10000</v>
      </c>
      <c r="F15" s="244">
        <v>12000</v>
      </c>
      <c r="G15" s="244">
        <v>14000</v>
      </c>
    </row>
    <row r="16" spans="1:7" ht="18.75" customHeight="1">
      <c r="A16" s="248" t="s">
        <v>589</v>
      </c>
      <c r="B16" s="215">
        <v>6500</v>
      </c>
      <c r="C16" s="215">
        <v>6000</v>
      </c>
      <c r="D16" s="215">
        <v>6000</v>
      </c>
      <c r="E16" s="244">
        <v>4000</v>
      </c>
      <c r="F16" s="244">
        <v>4000</v>
      </c>
      <c r="G16" s="244">
        <v>4000</v>
      </c>
    </row>
    <row r="17" spans="1:7" ht="18.75" hidden="1" customHeight="1">
      <c r="A17" s="248" t="s">
        <v>301</v>
      </c>
      <c r="B17" s="215">
        <v>500</v>
      </c>
      <c r="C17" s="215"/>
      <c r="D17" s="215"/>
      <c r="E17" s="244"/>
      <c r="F17" s="244"/>
      <c r="G17" s="244"/>
    </row>
    <row r="18" spans="1:7" ht="18.75" hidden="1" customHeight="1">
      <c r="A18" s="248" t="s">
        <v>274</v>
      </c>
      <c r="B18" s="215">
        <v>1250</v>
      </c>
      <c r="C18" s="215"/>
      <c r="D18" s="215"/>
      <c r="E18" s="244"/>
      <c r="F18" s="244"/>
      <c r="G18" s="244"/>
    </row>
    <row r="19" spans="1:7" ht="18.75" customHeight="1">
      <c r="A19" s="248" t="s">
        <v>109</v>
      </c>
      <c r="B19" s="215"/>
      <c r="C19" s="215">
        <v>1200</v>
      </c>
      <c r="D19" s="215">
        <v>1200</v>
      </c>
      <c r="E19" s="244">
        <v>600</v>
      </c>
      <c r="F19" s="244">
        <v>600</v>
      </c>
      <c r="G19" s="244">
        <v>600</v>
      </c>
    </row>
    <row r="20" spans="1:7" ht="18.75" customHeight="1">
      <c r="A20" s="248" t="s">
        <v>275</v>
      </c>
      <c r="B20" s="215">
        <v>5367</v>
      </c>
      <c r="C20" s="215">
        <v>2500</v>
      </c>
      <c r="D20" s="215">
        <v>2000</v>
      </c>
      <c r="E20" s="244">
        <v>2500</v>
      </c>
      <c r="F20" s="244">
        <v>2500</v>
      </c>
      <c r="G20" s="244">
        <v>2500</v>
      </c>
    </row>
    <row r="21" spans="1:7" ht="18.75" customHeight="1">
      <c r="A21" s="329" t="s">
        <v>287</v>
      </c>
      <c r="B21" s="215">
        <v>250</v>
      </c>
      <c r="C21" s="215">
        <v>650</v>
      </c>
      <c r="D21" s="215">
        <v>650</v>
      </c>
      <c r="E21" s="244">
        <v>750</v>
      </c>
      <c r="F21" s="244">
        <v>750</v>
      </c>
      <c r="G21" s="244">
        <v>750</v>
      </c>
    </row>
    <row r="22" spans="1:7" ht="18.75" hidden="1" customHeight="1">
      <c r="A22" s="248" t="s">
        <v>307</v>
      </c>
      <c r="B22" s="215">
        <v>2000</v>
      </c>
      <c r="C22" s="215">
        <v>1000</v>
      </c>
      <c r="D22" s="215">
        <v>750</v>
      </c>
      <c r="E22" s="215" t="s">
        <v>588</v>
      </c>
      <c r="F22" s="215" t="s">
        <v>588</v>
      </c>
      <c r="G22" s="215"/>
    </row>
    <row r="23" spans="1:7" ht="18.75" customHeight="1">
      <c r="A23" s="248" t="s">
        <v>396</v>
      </c>
      <c r="B23" s="215">
        <v>700</v>
      </c>
      <c r="C23" s="215">
        <v>750</v>
      </c>
      <c r="D23" s="215">
        <v>750</v>
      </c>
      <c r="E23" s="215">
        <v>750</v>
      </c>
      <c r="F23" s="215">
        <v>750</v>
      </c>
      <c r="G23" s="215">
        <v>750</v>
      </c>
    </row>
    <row r="24" spans="1:7" ht="18.75" customHeight="1">
      <c r="A24" s="248" t="s">
        <v>111</v>
      </c>
      <c r="B24" s="215">
        <v>10625</v>
      </c>
      <c r="C24" s="215">
        <v>2500</v>
      </c>
      <c r="D24" s="215">
        <v>3500</v>
      </c>
      <c r="E24" s="215">
        <v>0</v>
      </c>
      <c r="F24" s="215">
        <v>0</v>
      </c>
      <c r="G24" s="215">
        <v>0</v>
      </c>
    </row>
    <row r="25" spans="1:7" ht="18.75" customHeight="1">
      <c r="A25" s="248" t="s">
        <v>112</v>
      </c>
      <c r="B25" s="215">
        <v>4725</v>
      </c>
      <c r="C25" s="215">
        <v>5700</v>
      </c>
      <c r="D25" s="215">
        <v>6200</v>
      </c>
      <c r="E25" s="244">
        <v>15000</v>
      </c>
      <c r="F25" s="244">
        <v>15000</v>
      </c>
      <c r="G25" s="244">
        <v>0</v>
      </c>
    </row>
    <row r="26" spans="1:7" ht="18.75" customHeight="1">
      <c r="A26" s="248" t="s">
        <v>113</v>
      </c>
      <c r="B26" s="215">
        <v>200</v>
      </c>
      <c r="C26" s="215">
        <v>250</v>
      </c>
      <c r="D26" s="215">
        <v>350</v>
      </c>
      <c r="E26" s="215">
        <v>400</v>
      </c>
      <c r="F26" s="215">
        <v>400</v>
      </c>
      <c r="G26" s="215">
        <v>400</v>
      </c>
    </row>
    <row r="27" spans="1:7" ht="18.75" customHeight="1">
      <c r="A27" s="248" t="s">
        <v>276</v>
      </c>
      <c r="B27" s="215">
        <v>3000</v>
      </c>
      <c r="C27" s="215">
        <v>3500</v>
      </c>
      <c r="D27" s="215">
        <v>3500</v>
      </c>
      <c r="E27" s="215">
        <v>2500</v>
      </c>
      <c r="F27" s="215">
        <v>2500</v>
      </c>
      <c r="G27" s="215">
        <v>2500</v>
      </c>
    </row>
    <row r="28" spans="1:7" ht="18.75" customHeight="1">
      <c r="A28" s="248" t="s">
        <v>731</v>
      </c>
      <c r="B28" s="215"/>
      <c r="C28" s="215"/>
      <c r="D28" s="215"/>
      <c r="E28" s="215"/>
      <c r="F28" s="215"/>
      <c r="G28" s="215">
        <v>4000</v>
      </c>
    </row>
    <row r="29" spans="1:7" ht="18.75" customHeight="1">
      <c r="A29" s="248"/>
      <c r="B29" s="215"/>
      <c r="C29" s="215"/>
      <c r="D29" s="215"/>
      <c r="E29" s="215"/>
      <c r="F29" s="215"/>
      <c r="G29" s="215"/>
    </row>
    <row r="30" spans="1:7" ht="18.75" customHeight="1" thickBot="1">
      <c r="A30" s="403"/>
      <c r="B30" s="581">
        <v>-22000</v>
      </c>
      <c r="C30" s="581"/>
      <c r="D30" s="581"/>
      <c r="E30" s="581"/>
      <c r="F30" s="581"/>
      <c r="G30" s="581"/>
    </row>
    <row r="31" spans="1:7" ht="18.75" customHeight="1" thickTop="1">
      <c r="A31" s="235" t="s">
        <v>131</v>
      </c>
      <c r="B31" s="304">
        <f t="shared" ref="B31:G31" si="0">SUM(B4:B30)</f>
        <v>100282</v>
      </c>
      <c r="C31" s="304">
        <f t="shared" si="0"/>
        <v>56350</v>
      </c>
      <c r="D31" s="304">
        <f t="shared" si="0"/>
        <v>56900</v>
      </c>
      <c r="E31" s="304">
        <f t="shared" si="0"/>
        <v>56000</v>
      </c>
      <c r="F31" s="304">
        <f t="shared" si="0"/>
        <v>58800</v>
      </c>
      <c r="G31" s="304">
        <f t="shared" si="0"/>
        <v>49400</v>
      </c>
    </row>
    <row r="32" spans="1:7" ht="18.75" customHeight="1">
      <c r="A32" s="135"/>
      <c r="B32" s="104"/>
      <c r="C32" s="104"/>
    </row>
  </sheetData>
  <sortState ref="A6:E27">
    <sortCondition ref="A6:A27"/>
  </sortState>
  <phoneticPr fontId="19" type="noConversion"/>
  <printOptions horizontalCentered="1"/>
  <pageMargins left="0.75" right="0.5" top="0.75" bottom="0.5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G30"/>
  <sheetViews>
    <sheetView workbookViewId="0"/>
  </sheetViews>
  <sheetFormatPr defaultRowHeight="18.75" customHeight="1"/>
  <cols>
    <col min="1" max="1" width="35.85546875" style="105" customWidth="1"/>
    <col min="2" max="2" width="13.140625" style="27" hidden="1" customWidth="1"/>
    <col min="3" max="3" width="11.7109375" style="27" hidden="1" customWidth="1"/>
    <col min="4" max="4" width="11.7109375" style="27" customWidth="1"/>
    <col min="5" max="5" width="11" style="27" bestFit="1" customWidth="1"/>
    <col min="6" max="6" width="11" style="27" customWidth="1"/>
    <col min="7" max="7" width="11" style="27" bestFit="1" customWidth="1"/>
    <col min="8" max="16384" width="9.140625" style="27"/>
  </cols>
  <sheetData>
    <row r="1" spans="1:7" s="48" customFormat="1" ht="21.75" customHeight="1">
      <c r="A1" s="286" t="s">
        <v>298</v>
      </c>
      <c r="B1" s="217"/>
      <c r="C1" s="217"/>
      <c r="D1" s="217"/>
      <c r="E1" s="217"/>
      <c r="F1" s="217"/>
      <c r="G1" s="217"/>
    </row>
    <row r="2" spans="1:7" ht="12.75" customHeight="1">
      <c r="A2" s="106"/>
      <c r="B2" s="51"/>
      <c r="C2" s="51"/>
      <c r="D2" s="51"/>
      <c r="E2" s="51"/>
      <c r="F2" s="51"/>
      <c r="G2" s="51"/>
    </row>
    <row r="3" spans="1:7" s="48" customFormat="1" ht="18.75" customHeight="1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6.5" customHeight="1">
      <c r="A4" s="106"/>
      <c r="B4" s="138"/>
      <c r="C4" s="138"/>
      <c r="D4" s="138"/>
      <c r="E4" s="138"/>
      <c r="F4" s="138"/>
      <c r="G4" s="138"/>
    </row>
    <row r="5" spans="1:7" s="131" customFormat="1" ht="15.75" customHeight="1">
      <c r="A5" s="124" t="s">
        <v>304</v>
      </c>
      <c r="B5" s="330"/>
      <c r="C5" s="330"/>
      <c r="D5" s="330"/>
      <c r="E5" s="330"/>
      <c r="F5" s="330"/>
      <c r="G5" s="330"/>
    </row>
    <row r="6" spans="1:7" s="48" customFormat="1" ht="18.75" customHeight="1">
      <c r="A6" s="69" t="s">
        <v>299</v>
      </c>
      <c r="B6" s="249">
        <v>4300</v>
      </c>
      <c r="C6" s="249">
        <v>5600</v>
      </c>
      <c r="D6" s="249">
        <f>100*52</f>
        <v>5200</v>
      </c>
      <c r="E6" s="249">
        <v>3500</v>
      </c>
      <c r="F6" s="249">
        <v>2000</v>
      </c>
      <c r="G6" s="249">
        <v>3000</v>
      </c>
    </row>
    <row r="7" spans="1:7" s="48" customFormat="1" ht="18.75" hidden="1" customHeight="1">
      <c r="A7" s="69" t="s">
        <v>348</v>
      </c>
      <c r="B7" s="249">
        <v>15000</v>
      </c>
      <c r="C7" s="249"/>
      <c r="D7" s="249"/>
      <c r="E7" s="249"/>
      <c r="F7" s="249"/>
      <c r="G7" s="249"/>
    </row>
    <row r="8" spans="1:7" s="48" customFormat="1" ht="18.75" hidden="1" customHeight="1">
      <c r="A8" s="69" t="s">
        <v>397</v>
      </c>
      <c r="B8" s="249"/>
      <c r="C8" s="249"/>
      <c r="D8" s="249"/>
      <c r="E8" s="249"/>
      <c r="F8" s="249"/>
      <c r="G8" s="249"/>
    </row>
    <row r="9" spans="1:7" ht="18.75" customHeight="1">
      <c r="A9" s="69" t="s">
        <v>284</v>
      </c>
      <c r="B9" s="249">
        <v>1000</v>
      </c>
      <c r="C9" s="249">
        <v>450</v>
      </c>
      <c r="D9" s="249">
        <v>200</v>
      </c>
      <c r="E9" s="249">
        <v>200</v>
      </c>
      <c r="F9" s="249">
        <v>200</v>
      </c>
      <c r="G9" s="249">
        <v>300</v>
      </c>
    </row>
    <row r="10" spans="1:7" ht="18.75" customHeight="1">
      <c r="A10" s="69" t="s">
        <v>283</v>
      </c>
      <c r="B10" s="249">
        <v>1500</v>
      </c>
      <c r="C10" s="249">
        <v>1000</v>
      </c>
      <c r="D10" s="249">
        <v>1500</v>
      </c>
      <c r="E10" s="249">
        <v>1000</v>
      </c>
      <c r="F10" s="249">
        <v>1000</v>
      </c>
      <c r="G10" s="249">
        <v>1000</v>
      </c>
    </row>
    <row r="11" spans="1:7" ht="18.75" hidden="1" customHeight="1">
      <c r="A11" s="69" t="s">
        <v>301</v>
      </c>
      <c r="B11" s="249">
        <v>600</v>
      </c>
      <c r="C11" s="249"/>
      <c r="D11" s="249"/>
      <c r="E11" s="249"/>
      <c r="F11" s="249"/>
      <c r="G11" s="249"/>
    </row>
    <row r="12" spans="1:7" ht="18.75" hidden="1" customHeight="1">
      <c r="A12" s="69" t="s">
        <v>303</v>
      </c>
      <c r="B12" s="249">
        <v>500</v>
      </c>
      <c r="C12" s="249"/>
      <c r="D12" s="249"/>
      <c r="E12" s="249"/>
      <c r="F12" s="249"/>
      <c r="G12" s="249"/>
    </row>
    <row r="13" spans="1:7" ht="18.75" customHeight="1">
      <c r="A13" s="69" t="s">
        <v>302</v>
      </c>
      <c r="B13" s="249">
        <v>900</v>
      </c>
      <c r="C13" s="249">
        <v>850</v>
      </c>
      <c r="D13" s="249">
        <v>850</v>
      </c>
      <c r="E13" s="249">
        <v>500</v>
      </c>
      <c r="F13" s="249">
        <v>500</v>
      </c>
      <c r="G13" s="249">
        <v>500</v>
      </c>
    </row>
    <row r="14" spans="1:7" ht="18.75" customHeight="1">
      <c r="A14" s="69" t="s">
        <v>300</v>
      </c>
      <c r="B14" s="249">
        <v>2000</v>
      </c>
      <c r="C14" s="249">
        <v>1000</v>
      </c>
      <c r="D14" s="249">
        <v>1500</v>
      </c>
      <c r="E14" s="249">
        <v>4500</v>
      </c>
      <c r="F14" s="249">
        <v>2500</v>
      </c>
      <c r="G14" s="249">
        <v>4500</v>
      </c>
    </row>
    <row r="15" spans="1:7" ht="18.75" customHeight="1">
      <c r="A15" s="790" t="s">
        <v>623</v>
      </c>
      <c r="B15" s="331"/>
      <c r="C15" s="249"/>
      <c r="D15" s="249"/>
      <c r="E15" s="249">
        <f>150*40</f>
        <v>6000</v>
      </c>
      <c r="F15" s="249">
        <v>5000</v>
      </c>
      <c r="G15" s="249">
        <v>4500</v>
      </c>
    </row>
    <row r="16" spans="1:7" ht="18.75" customHeight="1">
      <c r="A16" s="467"/>
      <c r="B16" s="331"/>
      <c r="C16" s="249"/>
      <c r="D16" s="249"/>
      <c r="E16" s="249"/>
      <c r="F16" s="249"/>
      <c r="G16" s="249"/>
    </row>
    <row r="17" spans="1:7" ht="16.5" customHeight="1">
      <c r="A17" s="58"/>
      <c r="B17" s="249"/>
      <c r="C17" s="249"/>
      <c r="D17" s="249"/>
      <c r="E17" s="249"/>
      <c r="F17" s="249"/>
      <c r="G17" s="249"/>
    </row>
    <row r="18" spans="1:7" ht="16.5" customHeight="1" thickBot="1">
      <c r="A18" s="362"/>
      <c r="B18" s="72"/>
      <c r="C18" s="582"/>
      <c r="D18" s="582"/>
      <c r="E18" s="582"/>
      <c r="F18" s="582"/>
      <c r="G18" s="582"/>
    </row>
    <row r="19" spans="1:7" ht="18.75" customHeight="1" thickTop="1">
      <c r="A19" s="111" t="s">
        <v>131</v>
      </c>
      <c r="B19" s="332">
        <f t="shared" ref="B19:D19" si="0">SUM(B4:B18)</f>
        <v>25800</v>
      </c>
      <c r="C19" s="332">
        <f t="shared" si="0"/>
        <v>8900</v>
      </c>
      <c r="D19" s="332">
        <f t="shared" si="0"/>
        <v>9250</v>
      </c>
      <c r="E19" s="332">
        <f>SUM(E4:E18)</f>
        <v>15700</v>
      </c>
      <c r="F19" s="332">
        <f>SUM(F4:F18)</f>
        <v>11200</v>
      </c>
      <c r="G19" s="332">
        <f>SUM(G4:G18)</f>
        <v>13800</v>
      </c>
    </row>
    <row r="20" spans="1:7" ht="8.25" customHeight="1"/>
    <row r="21" spans="1:7" ht="15" customHeight="1">
      <c r="A21"/>
      <c r="B21"/>
      <c r="C21"/>
      <c r="D21"/>
      <c r="E21"/>
      <c r="F21"/>
      <c r="G21"/>
    </row>
    <row r="22" spans="1:7" ht="15" customHeight="1">
      <c r="A22"/>
      <c r="B22"/>
      <c r="C22"/>
      <c r="D22"/>
      <c r="E22"/>
      <c r="F22"/>
      <c r="G22"/>
    </row>
    <row r="23" spans="1:7" ht="15" customHeight="1">
      <c r="A23"/>
      <c r="B23"/>
      <c r="C23"/>
      <c r="D23"/>
      <c r="E23"/>
      <c r="F23"/>
      <c r="G23"/>
    </row>
    <row r="24" spans="1:7" ht="15" customHeight="1">
      <c r="A24"/>
      <c r="B24"/>
      <c r="C24"/>
      <c r="D24"/>
      <c r="E24"/>
      <c r="F24"/>
      <c r="G24"/>
    </row>
    <row r="25" spans="1:7" ht="15" customHeight="1">
      <c r="A25"/>
      <c r="B25"/>
      <c r="C25"/>
      <c r="D25"/>
      <c r="E25"/>
      <c r="F25"/>
      <c r="G25"/>
    </row>
    <row r="26" spans="1:7" ht="15" customHeight="1">
      <c r="A26"/>
      <c r="B26"/>
      <c r="C26"/>
      <c r="D26"/>
      <c r="E26"/>
      <c r="F26"/>
      <c r="G26"/>
    </row>
    <row r="27" spans="1:7" ht="15" customHeight="1">
      <c r="A27"/>
      <c r="B27"/>
      <c r="C27"/>
      <c r="D27"/>
      <c r="E27"/>
      <c r="F27"/>
      <c r="G27"/>
    </row>
    <row r="28" spans="1:7" ht="15" customHeight="1">
      <c r="A28"/>
      <c r="B28"/>
      <c r="C28"/>
      <c r="D28"/>
      <c r="E28"/>
      <c r="F28"/>
      <c r="G28"/>
    </row>
    <row r="29" spans="1:7" ht="18.75" customHeight="1">
      <c r="A29"/>
      <c r="B29"/>
      <c r="C29"/>
      <c r="D29"/>
      <c r="E29"/>
      <c r="F29"/>
      <c r="G29"/>
    </row>
    <row r="30" spans="1:7" ht="18.75" customHeight="1">
      <c r="A30"/>
      <c r="B30"/>
      <c r="C30"/>
      <c r="D30"/>
      <c r="E30"/>
      <c r="F30"/>
      <c r="G30"/>
    </row>
  </sheetData>
  <sortState ref="A14:E15">
    <sortCondition ref="A14:A1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RowHeight="12.75"/>
  <cols>
    <col min="1" max="1" width="39" customWidth="1"/>
    <col min="2" max="2" width="12.42578125" hidden="1" customWidth="1"/>
    <col min="3" max="6" width="12.7109375" customWidth="1"/>
  </cols>
  <sheetData>
    <row r="1" spans="1:6" ht="23.25" customHeight="1">
      <c r="A1" s="286" t="s">
        <v>376</v>
      </c>
      <c r="B1" s="286"/>
      <c r="C1" s="286"/>
      <c r="D1" s="286"/>
      <c r="E1" s="286"/>
      <c r="F1" s="286"/>
    </row>
    <row r="2" spans="1:6" ht="25.5" customHeight="1">
      <c r="A2" s="117" t="s">
        <v>133</v>
      </c>
      <c r="B2" s="117">
        <v>2013</v>
      </c>
      <c r="C2" s="117">
        <v>2014</v>
      </c>
      <c r="D2" s="117">
        <v>2015</v>
      </c>
      <c r="E2" s="117">
        <v>2016</v>
      </c>
      <c r="F2" s="117">
        <v>2017</v>
      </c>
    </row>
    <row r="3" spans="1:6" ht="18.95" customHeight="1">
      <c r="A3" s="323"/>
      <c r="B3" s="323"/>
      <c r="C3" s="323"/>
      <c r="D3" s="323"/>
      <c r="E3" s="323"/>
      <c r="F3" s="323"/>
    </row>
    <row r="4" spans="1:6" ht="18.95" customHeight="1">
      <c r="A4" s="248" t="s">
        <v>377</v>
      </c>
      <c r="B4" s="245">
        <v>2100</v>
      </c>
      <c r="C4" s="245">
        <v>2300</v>
      </c>
      <c r="D4" s="245">
        <v>2300</v>
      </c>
      <c r="E4" s="245">
        <v>2300</v>
      </c>
      <c r="F4" s="245">
        <v>2300</v>
      </c>
    </row>
    <row r="5" spans="1:6" ht="22.5" customHeight="1">
      <c r="A5" s="248" t="s">
        <v>381</v>
      </c>
      <c r="B5" s="204">
        <v>275</v>
      </c>
      <c r="C5" s="204">
        <v>300</v>
      </c>
      <c r="D5" s="204">
        <v>300</v>
      </c>
      <c r="E5" s="204">
        <v>300</v>
      </c>
      <c r="F5" s="204">
        <v>300</v>
      </c>
    </row>
    <row r="6" spans="1:6" ht="18.95" customHeight="1">
      <c r="A6" s="328"/>
      <c r="B6" s="204"/>
      <c r="C6" s="204"/>
      <c r="D6" s="204"/>
      <c r="E6" s="204"/>
      <c r="F6" s="204"/>
    </row>
    <row r="7" spans="1:6" ht="18.95" customHeight="1">
      <c r="A7" s="324"/>
      <c r="B7" s="245"/>
      <c r="C7" s="245"/>
      <c r="D7" s="245"/>
      <c r="E7" s="245"/>
      <c r="F7" s="245"/>
    </row>
    <row r="8" spans="1:6" ht="18.95" customHeight="1">
      <c r="A8" s="325"/>
      <c r="B8" s="320"/>
      <c r="C8" s="320"/>
      <c r="D8" s="320"/>
      <c r="E8" s="320"/>
      <c r="F8" s="320"/>
    </row>
    <row r="9" spans="1:6" ht="33.75" customHeight="1">
      <c r="A9" s="326"/>
      <c r="B9" s="204"/>
      <c r="C9" s="204"/>
      <c r="D9" s="204"/>
      <c r="E9" s="204"/>
      <c r="F9" s="204"/>
    </row>
    <row r="10" spans="1:6" ht="18.95" customHeight="1">
      <c r="A10" s="294"/>
      <c r="B10" s="320"/>
      <c r="C10" s="320"/>
      <c r="D10" s="320"/>
      <c r="E10" s="320"/>
      <c r="F10" s="320"/>
    </row>
    <row r="11" spans="1:6" ht="18.95" customHeight="1" thickBot="1">
      <c r="A11" s="247"/>
      <c r="B11" s="204"/>
      <c r="C11" s="204"/>
      <c r="D11" s="204"/>
      <c r="E11" s="204"/>
      <c r="F11" s="204"/>
    </row>
    <row r="12" spans="1:6" ht="18.95" customHeight="1" thickTop="1">
      <c r="A12" s="322" t="s">
        <v>131</v>
      </c>
      <c r="B12" s="64">
        <f>SUM(B4:B11)</f>
        <v>2375</v>
      </c>
      <c r="C12" s="64">
        <f>SUM(C4:C11)</f>
        <v>2600</v>
      </c>
      <c r="D12" s="64">
        <f>SUM(D4:D11)</f>
        <v>2600</v>
      </c>
      <c r="E12" s="64">
        <f>SUM(E4:E11)</f>
        <v>2600</v>
      </c>
      <c r="F12" s="64">
        <f>SUM(F4:F11)</f>
        <v>2600</v>
      </c>
    </row>
    <row r="13" spans="1:6">
      <c r="A13" s="287"/>
      <c r="B13" s="24"/>
      <c r="C13" s="24"/>
      <c r="D13" s="269"/>
      <c r="E13" s="269"/>
      <c r="F13" s="269"/>
    </row>
  </sheetData>
  <printOptions horizontalCentered="1"/>
  <pageMargins left="0.7" right="0.7" top="1" bottom="0.75" header="0.3" footer="0.3"/>
  <pageSetup orientation="portrait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/>
  </sheetViews>
  <sheetFormatPr defaultRowHeight="12.75"/>
  <cols>
    <col min="1" max="1" width="38.28515625" style="24" customWidth="1"/>
    <col min="2" max="2" width="11.28515625" style="24" hidden="1" customWidth="1"/>
    <col min="3" max="7" width="11.28515625" style="24" customWidth="1"/>
    <col min="8" max="11" width="9.140625" style="24"/>
    <col min="12" max="12" width="10.7109375" style="24" bestFit="1" customWidth="1"/>
    <col min="13" max="16384" width="9.140625" style="24"/>
  </cols>
  <sheetData>
    <row r="1" spans="1:12">
      <c r="A1" s="907" t="s">
        <v>689</v>
      </c>
      <c r="B1" s="273"/>
      <c r="C1" s="273"/>
      <c r="D1" s="273"/>
      <c r="E1" s="273"/>
      <c r="F1" s="273"/>
    </row>
    <row r="2" spans="1:12" ht="18.75" customHeight="1">
      <c r="A2" s="788"/>
      <c r="B2" s="789"/>
      <c r="C2" s="789"/>
      <c r="D2" s="789"/>
      <c r="E2" s="789"/>
      <c r="F2" s="789"/>
    </row>
    <row r="3" spans="1:12" ht="18.75" customHeight="1">
      <c r="A3" s="339" t="s">
        <v>133</v>
      </c>
      <c r="B3" s="340">
        <v>2013</v>
      </c>
      <c r="C3" s="340">
        <v>2014</v>
      </c>
      <c r="D3" s="340">
        <v>2015</v>
      </c>
      <c r="E3" s="340">
        <v>2016</v>
      </c>
      <c r="F3" s="340">
        <v>2017</v>
      </c>
    </row>
    <row r="4" spans="1:12" ht="20.100000000000001" customHeight="1">
      <c r="A4" s="61" t="s">
        <v>216</v>
      </c>
      <c r="B4" s="589">
        <v>148260</v>
      </c>
      <c r="C4" s="589">
        <v>156333.63</v>
      </c>
      <c r="D4" s="589">
        <v>164446.14000000001</v>
      </c>
      <c r="E4" s="589">
        <v>168094.01</v>
      </c>
      <c r="F4" s="589">
        <f>'642 PAYROLL'!K50*0.0765</f>
        <v>174842.4098205</v>
      </c>
      <c r="G4" s="620"/>
      <c r="H4"/>
      <c r="I4" s="620"/>
    </row>
    <row r="5" spans="1:12" ht="20.100000000000001" customHeight="1">
      <c r="A5" s="268" t="s">
        <v>472</v>
      </c>
      <c r="B5" s="303">
        <v>5250</v>
      </c>
      <c r="C5" s="303">
        <v>5250</v>
      </c>
      <c r="D5" s="303">
        <v>5250</v>
      </c>
      <c r="E5" s="303">
        <v>5250</v>
      </c>
      <c r="F5" s="303">
        <v>5250</v>
      </c>
      <c r="G5" s="444"/>
    </row>
    <row r="6" spans="1:12" ht="20.100000000000001" customHeight="1">
      <c r="A6" s="468" t="s">
        <v>285</v>
      </c>
      <c r="B6" s="807">
        <v>240759.72</v>
      </c>
      <c r="C6" s="962">
        <v>349857.84</v>
      </c>
      <c r="D6" s="962">
        <v>376097.18</v>
      </c>
      <c r="E6" s="962">
        <v>404304.47</v>
      </c>
      <c r="F6" s="962">
        <f>(40000*12)-86000</f>
        <v>394000</v>
      </c>
      <c r="G6" s="962">
        <f>(F6+F8)</f>
        <v>394000</v>
      </c>
      <c r="H6" s="481"/>
    </row>
    <row r="7" spans="1:12" ht="20.100000000000001" customHeight="1">
      <c r="A7" s="268" t="s">
        <v>297</v>
      </c>
      <c r="B7" s="808"/>
      <c r="C7" s="963"/>
      <c r="D7" s="963"/>
      <c r="E7" s="964"/>
      <c r="F7" s="964"/>
      <c r="G7" s="964"/>
      <c r="H7" s="481"/>
      <c r="L7" s="271"/>
    </row>
    <row r="8" spans="1:12" ht="20.100000000000001" customHeight="1">
      <c r="A8" s="276" t="s">
        <v>681</v>
      </c>
      <c r="B8" s="585">
        <v>-25813</v>
      </c>
      <c r="C8" s="649">
        <v>-82791.240000000005</v>
      </c>
      <c r="D8" s="649">
        <v>-65497.18</v>
      </c>
      <c r="E8" s="791">
        <v>-40000</v>
      </c>
      <c r="F8" s="791"/>
      <c r="G8" s="965"/>
      <c r="H8" s="481"/>
    </row>
    <row r="9" spans="1:12" ht="20.100000000000001" customHeight="1">
      <c r="A9" s="519" t="s">
        <v>532</v>
      </c>
      <c r="B9" s="425">
        <v>10437.700000000001</v>
      </c>
      <c r="C9" s="425">
        <v>10600</v>
      </c>
      <c r="D9" s="425">
        <v>10600</v>
      </c>
      <c r="E9" s="858">
        <v>11000</v>
      </c>
      <c r="F9" s="779">
        <f>(1600*12)-7200</f>
        <v>12000</v>
      </c>
      <c r="G9" s="522"/>
      <c r="H9" s="100"/>
    </row>
    <row r="10" spans="1:12" ht="20.100000000000001" customHeight="1">
      <c r="A10" s="520" t="s">
        <v>343</v>
      </c>
      <c r="B10" s="364">
        <v>8048</v>
      </c>
      <c r="C10" s="364">
        <v>11500</v>
      </c>
      <c r="D10" s="364">
        <v>13600</v>
      </c>
      <c r="E10" s="364">
        <v>13600</v>
      </c>
      <c r="F10" s="364">
        <v>13600</v>
      </c>
      <c r="G10" s="966">
        <f>F10+F11+F12</f>
        <v>16600</v>
      </c>
      <c r="I10" s="445"/>
    </row>
    <row r="11" spans="1:12" ht="20.100000000000001" customHeight="1">
      <c r="A11" s="325" t="s">
        <v>344</v>
      </c>
      <c r="B11" s="63">
        <v>2452</v>
      </c>
      <c r="C11" s="63"/>
      <c r="D11" s="63"/>
      <c r="E11" s="63"/>
      <c r="F11" s="63"/>
      <c r="G11" s="967"/>
      <c r="I11" s="445"/>
    </row>
    <row r="12" spans="1:12" ht="20.100000000000001" customHeight="1">
      <c r="A12" s="521" t="s">
        <v>345</v>
      </c>
      <c r="B12" s="341">
        <v>3000</v>
      </c>
      <c r="C12" s="341">
        <v>2100</v>
      </c>
      <c r="D12" s="341">
        <v>3000</v>
      </c>
      <c r="E12" s="341">
        <v>3000</v>
      </c>
      <c r="F12" s="341">
        <v>3000</v>
      </c>
      <c r="G12" s="968"/>
      <c r="H12" s="481"/>
      <c r="I12" s="734"/>
    </row>
    <row r="13" spans="1:12" ht="20.100000000000001" customHeight="1">
      <c r="A13" s="468" t="s">
        <v>217</v>
      </c>
      <c r="B13" s="426">
        <v>36743.928508249599</v>
      </c>
      <c r="C13" s="426">
        <v>36743.93</v>
      </c>
      <c r="D13" s="426">
        <v>37225.24</v>
      </c>
      <c r="E13" s="426">
        <v>38202.44</v>
      </c>
      <c r="F13" s="426">
        <f>'642 PAYROLL'!K34/100*'642 PAYROLL'!I58*'642 PAYROLL'!J58*'642 PAYROLL'!K58</f>
        <v>39645.035733459197</v>
      </c>
      <c r="G13" s="960">
        <f>SUM(F13:F18)</f>
        <v>41770.934398828795</v>
      </c>
      <c r="L13" s="271"/>
    </row>
    <row r="14" spans="1:12" ht="20.100000000000001" customHeight="1">
      <c r="A14" s="53" t="s">
        <v>218</v>
      </c>
      <c r="B14" s="275">
        <v>1046.0347559270401</v>
      </c>
      <c r="C14" s="275">
        <v>1046.03</v>
      </c>
      <c r="D14" s="275">
        <v>1370.91</v>
      </c>
      <c r="E14" s="275">
        <v>1385.5</v>
      </c>
      <c r="F14" s="275">
        <f>('642 PAYROLL'!K48-'642 PAYROLL'!K47)/100*'642 PAYROLL'!I59*'642 PAYROLL'!J59*'642 PAYROLL'!K59</f>
        <v>1462.2378653695996</v>
      </c>
      <c r="G14" s="969"/>
    </row>
    <row r="15" spans="1:12" ht="20.100000000000001" customHeight="1">
      <c r="A15" s="268" t="s">
        <v>50</v>
      </c>
      <c r="B15" s="275">
        <v>443.52</v>
      </c>
      <c r="C15" s="275">
        <v>443.52</v>
      </c>
      <c r="D15" s="275">
        <v>443.52</v>
      </c>
      <c r="E15" s="275">
        <f>'642 PAYROLL'!G60</f>
        <v>443.52</v>
      </c>
      <c r="F15" s="275">
        <f>'642 PAYROLL'!G60</f>
        <v>443.52</v>
      </c>
      <c r="G15" s="969"/>
    </row>
    <row r="16" spans="1:12" ht="20.100000000000001" customHeight="1">
      <c r="A16" s="268" t="s">
        <v>425</v>
      </c>
      <c r="B16" s="275">
        <v>272.44800000000004</v>
      </c>
      <c r="C16" s="275">
        <v>272.45</v>
      </c>
      <c r="D16" s="275">
        <v>211.9</v>
      </c>
      <c r="E16" s="275">
        <f>'642 PAYROLL'!K47/100*'642 PAYROLL'!I61*'642 PAYROLL'!J61*'642 PAYROLL'!K61</f>
        <v>211.904</v>
      </c>
      <c r="F16" s="275">
        <f>'642 PAYROLL'!K47/100*'642 PAYROLL'!I61*'642 PAYROLL'!J61*'642 PAYROLL'!K61</f>
        <v>211.904</v>
      </c>
      <c r="G16" s="969"/>
    </row>
    <row r="17" spans="1:7" ht="20.100000000000001" customHeight="1">
      <c r="A17" s="268" t="s">
        <v>434</v>
      </c>
      <c r="B17" s="337">
        <v>8.2368000000000006</v>
      </c>
      <c r="C17" s="337">
        <v>8.24</v>
      </c>
      <c r="D17" s="337">
        <v>8.24</v>
      </c>
      <c r="E17" s="337">
        <f>3000/100*'642 PAYROLL'!I62*'642 PAYROLL'!J62*'642 PAYROLL'!K62</f>
        <v>8.2368000000000006</v>
      </c>
      <c r="F17" s="337">
        <f>3000/100*'642 PAYROLL'!I62*'642 PAYROLL'!J62*'642 PAYROLL'!K62</f>
        <v>8.2368000000000006</v>
      </c>
      <c r="G17" s="969"/>
    </row>
    <row r="18" spans="1:7" ht="20.100000000000001" customHeight="1">
      <c r="A18" s="276" t="s">
        <v>403</v>
      </c>
      <c r="B18" s="809">
        <v>-1589</v>
      </c>
      <c r="C18" s="809">
        <v>-1589</v>
      </c>
      <c r="D18" s="809">
        <v>-1589</v>
      </c>
      <c r="E18" s="857">
        <v>-1589</v>
      </c>
      <c r="F18" s="747">
        <f>'642 PAYROLL'!G63</f>
        <v>0</v>
      </c>
      <c r="G18" s="961"/>
    </row>
    <row r="19" spans="1:7" ht="20.100000000000001" customHeight="1">
      <c r="A19" s="268" t="s">
        <v>540</v>
      </c>
      <c r="B19" s="275">
        <v>15000</v>
      </c>
      <c r="C19" s="275">
        <v>15000</v>
      </c>
      <c r="D19" s="275">
        <v>20000</v>
      </c>
      <c r="E19" s="275">
        <v>22000</v>
      </c>
      <c r="F19" s="275">
        <v>22000</v>
      </c>
      <c r="G19" s="523"/>
    </row>
    <row r="20" spans="1:7" ht="20.100000000000001" customHeight="1">
      <c r="A20" s="469" t="s">
        <v>184</v>
      </c>
      <c r="B20" s="336">
        <v>480</v>
      </c>
      <c r="C20" s="336">
        <v>480</v>
      </c>
      <c r="D20" s="336">
        <v>480</v>
      </c>
      <c r="E20" s="336">
        <f>40*12</f>
        <v>480</v>
      </c>
      <c r="F20" s="336">
        <f>40*12</f>
        <v>480</v>
      </c>
      <c r="G20" s="960">
        <f>F20+F21+F22</f>
        <v>10872</v>
      </c>
    </row>
    <row r="21" spans="1:7" ht="20.100000000000001" customHeight="1">
      <c r="A21" s="61" t="s">
        <v>26</v>
      </c>
      <c r="B21" s="274">
        <v>9500</v>
      </c>
      <c r="C21" s="274">
        <v>9500</v>
      </c>
      <c r="D21" s="274">
        <v>10392</v>
      </c>
      <c r="E21" s="274">
        <f>866*12</f>
        <v>10392</v>
      </c>
      <c r="F21" s="274">
        <f>866*12</f>
        <v>10392</v>
      </c>
      <c r="G21" s="961"/>
    </row>
    <row r="22" spans="1:7" ht="20.100000000000001" hidden="1" customHeight="1">
      <c r="A22" s="61" t="s">
        <v>384</v>
      </c>
      <c r="B22" s="274">
        <v>0</v>
      </c>
      <c r="C22" s="274">
        <v>0</v>
      </c>
      <c r="D22" s="274">
        <v>0</v>
      </c>
      <c r="E22" s="274"/>
      <c r="F22" s="274"/>
      <c r="G22" s="810"/>
    </row>
    <row r="23" spans="1:7" ht="20.100000000000001" customHeight="1">
      <c r="A23" s="469" t="s">
        <v>333</v>
      </c>
      <c r="B23" s="583">
        <v>2000</v>
      </c>
      <c r="C23" s="583">
        <v>2000</v>
      </c>
      <c r="D23" s="583">
        <v>2000</v>
      </c>
      <c r="E23" s="583">
        <v>2000</v>
      </c>
      <c r="F23" s="583">
        <v>2000</v>
      </c>
    </row>
    <row r="24" spans="1:7" ht="20.100000000000001" customHeight="1">
      <c r="A24" s="586" t="s">
        <v>357</v>
      </c>
      <c r="B24" s="338">
        <v>177485.82</v>
      </c>
      <c r="C24" s="338">
        <v>189168.64000000001</v>
      </c>
      <c r="D24" s="338">
        <v>201448.4</v>
      </c>
      <c r="E24" s="338">
        <v>206173.94</v>
      </c>
      <c r="F24" s="338">
        <f>'642 PAYROLL'!G67</f>
        <v>214550.95290000003</v>
      </c>
    </row>
    <row r="25" spans="1:7" ht="20.100000000000001" customHeight="1">
      <c r="A25" s="587"/>
      <c r="B25" s="588"/>
      <c r="C25" s="588"/>
      <c r="D25" s="588"/>
      <c r="E25" s="588"/>
      <c r="F25" s="588"/>
    </row>
    <row r="26" spans="1:7" ht="20.100000000000001" customHeight="1">
      <c r="A26" s="584"/>
      <c r="B26" s="585"/>
      <c r="C26" s="585"/>
      <c r="D26" s="585"/>
      <c r="E26" s="585"/>
      <c r="F26" s="585"/>
    </row>
    <row r="27" spans="1:7" ht="20.100000000000001" customHeight="1">
      <c r="A27" s="421" t="s">
        <v>181</v>
      </c>
      <c r="B27" s="673">
        <f>SUM(B4:B26)</f>
        <v>633785.40806417656</v>
      </c>
      <c r="C27" s="673">
        <f>SUM(C4:C26)</f>
        <v>705924.04</v>
      </c>
      <c r="D27" s="673">
        <f>SUM(D4:D26)</f>
        <v>779487.35000000021</v>
      </c>
      <c r="E27" s="673">
        <f>SUM(E4:E26)-0.01</f>
        <v>844957.01079999981</v>
      </c>
      <c r="F27" s="673">
        <f>SUM(F4:F26)</f>
        <v>893886.29711932887</v>
      </c>
    </row>
    <row r="28" spans="1:7" ht="11.25" customHeight="1">
      <c r="D28" s="100"/>
      <c r="E28" s="100"/>
      <c r="F28" s="100"/>
    </row>
    <row r="29" spans="1:7">
      <c r="D29" s="402"/>
      <c r="E29" s="402"/>
      <c r="F29" s="402"/>
    </row>
    <row r="30" spans="1:7" ht="15.75" customHeight="1"/>
  </sheetData>
  <mergeCells count="8">
    <mergeCell ref="G20:G21"/>
    <mergeCell ref="C6:C7"/>
    <mergeCell ref="D6:D7"/>
    <mergeCell ref="G6:G8"/>
    <mergeCell ref="G10:G12"/>
    <mergeCell ref="G13:G18"/>
    <mergeCell ref="F6:F7"/>
    <mergeCell ref="E6:E7"/>
  </mergeCells>
  <pageMargins left="0.7" right="0.7" top="0.75" bottom="0.75" header="0.3" footer="0.3"/>
  <pageSetup scale="96" fitToHeight="0" orientation="portrait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V71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5" style="24" customWidth="1"/>
    <col min="2" max="2" width="4.140625" style="24" customWidth="1"/>
    <col min="3" max="3" width="8.28515625" style="24" customWidth="1"/>
    <col min="4" max="4" width="4" style="24" bestFit="1" customWidth="1"/>
    <col min="5" max="5" width="10.7109375" style="24" customWidth="1"/>
    <col min="6" max="6" width="11.140625" style="24" customWidth="1"/>
    <col min="7" max="7" width="13" style="24" customWidth="1"/>
    <col min="8" max="8" width="6.140625" style="481" customWidth="1"/>
    <col min="9" max="9" width="6.140625" style="24" customWidth="1"/>
    <col min="10" max="10" width="7.7109375" style="24" customWidth="1"/>
    <col min="11" max="11" width="11.7109375" style="24" customWidth="1"/>
    <col min="12" max="12" width="9.28515625" style="24" customWidth="1"/>
    <col min="13" max="13" width="10.7109375" style="24" customWidth="1"/>
    <col min="14" max="14" width="6.5703125" style="24" customWidth="1"/>
    <col min="15" max="15" width="9.85546875" style="24" customWidth="1"/>
    <col min="16" max="16" width="11.28515625" style="24" bestFit="1" customWidth="1"/>
    <col min="17" max="17" width="11.5703125" style="24" bestFit="1" customWidth="1"/>
    <col min="18" max="16384" width="9.140625" style="24"/>
  </cols>
  <sheetData>
    <row r="1" spans="1:19" ht="18">
      <c r="A1" s="750" t="s">
        <v>57</v>
      </c>
      <c r="B1" s="751" t="s">
        <v>58</v>
      </c>
      <c r="C1" s="482" t="s">
        <v>59</v>
      </c>
      <c r="D1" s="482" t="s">
        <v>60</v>
      </c>
      <c r="E1" s="482" t="s">
        <v>332</v>
      </c>
      <c r="F1" s="482" t="s">
        <v>402</v>
      </c>
      <c r="G1" s="482" t="s">
        <v>61</v>
      </c>
      <c r="H1" s="482" t="s">
        <v>537</v>
      </c>
      <c r="I1" s="482" t="s">
        <v>538</v>
      </c>
      <c r="J1" s="482" t="s">
        <v>649</v>
      </c>
      <c r="K1" s="482" t="s">
        <v>453</v>
      </c>
      <c r="L1" s="482" t="s">
        <v>341</v>
      </c>
      <c r="M1" s="943" t="s">
        <v>757</v>
      </c>
    </row>
    <row r="2" spans="1:19">
      <c r="A2" s="495" t="s">
        <v>653</v>
      </c>
      <c r="B2" s="496">
        <v>13</v>
      </c>
      <c r="C2" s="613">
        <f>M3+H2+I2</f>
        <v>25.774600000000003</v>
      </c>
      <c r="D2" s="488">
        <v>26</v>
      </c>
      <c r="E2" s="613">
        <f t="shared" ref="E2:E15" si="0">106*C2*D2</f>
        <v>71034.797600000005</v>
      </c>
      <c r="F2" s="613">
        <f t="shared" ref="F2:F15" si="1">9*C2*D2</f>
        <v>6031.2564000000002</v>
      </c>
      <c r="G2" s="613">
        <f t="shared" ref="G2:G15" si="2">E2+F2</f>
        <v>77066.054000000004</v>
      </c>
      <c r="H2" s="939">
        <f>0.13+0.22+0.22+0.88+0.33+0.22</f>
        <v>2</v>
      </c>
      <c r="I2" s="654">
        <f>P17</f>
        <v>2.1</v>
      </c>
      <c r="J2" s="753">
        <v>300</v>
      </c>
      <c r="K2" s="364">
        <f>G2+J2</f>
        <v>77366.054000000004</v>
      </c>
      <c r="L2" s="760">
        <v>37878</v>
      </c>
    </row>
    <row r="3" spans="1:19">
      <c r="A3" s="489" t="s">
        <v>654</v>
      </c>
      <c r="B3" s="492">
        <v>10</v>
      </c>
      <c r="C3" s="614">
        <f>M3+H3+I3</f>
        <v>24.504600000000003</v>
      </c>
      <c r="D3" s="492">
        <v>26</v>
      </c>
      <c r="E3" s="614">
        <f t="shared" ref="E3:E4" si="3">106*C3*D3</f>
        <v>67534.67760000001</v>
      </c>
      <c r="F3" s="614">
        <f t="shared" ref="F3:F4" si="4">9*C3*D3</f>
        <v>5734.0764000000008</v>
      </c>
      <c r="G3" s="614">
        <f t="shared" ref="G3:G4" si="5">E3+F3</f>
        <v>73268.754000000015</v>
      </c>
      <c r="H3" s="771">
        <f>0.13+0.22+0.22+0.22+0.22+0.22</f>
        <v>1.23</v>
      </c>
      <c r="I3" s="655">
        <f>P14</f>
        <v>1.6</v>
      </c>
      <c r="J3" s="635">
        <v>300</v>
      </c>
      <c r="K3" s="63">
        <f t="shared" ref="K3:K4" si="6">G3+J3</f>
        <v>73568.754000000015</v>
      </c>
      <c r="L3" s="761">
        <v>38942</v>
      </c>
      <c r="M3" s="271">
        <f>21.46*1.01</f>
        <v>21.674600000000002</v>
      </c>
      <c r="P3" s="973" t="s">
        <v>424</v>
      </c>
      <c r="Q3" s="973"/>
      <c r="R3" s="973"/>
      <c r="S3"/>
    </row>
    <row r="4" spans="1:19">
      <c r="A4" s="687" t="s">
        <v>685</v>
      </c>
      <c r="B4" s="688">
        <v>9</v>
      </c>
      <c r="C4" s="748">
        <f>M3+I4+H4</f>
        <v>25.064600000000002</v>
      </c>
      <c r="D4" s="688">
        <v>26</v>
      </c>
      <c r="E4" s="748">
        <f t="shared" si="3"/>
        <v>69078.037599999996</v>
      </c>
      <c r="F4" s="748">
        <f t="shared" si="4"/>
        <v>5865.1164000000008</v>
      </c>
      <c r="G4" s="748">
        <f t="shared" si="5"/>
        <v>74943.153999999995</v>
      </c>
      <c r="H4" s="940">
        <f>0.13+0.22+0.22+0.88+0.22+0.22</f>
        <v>1.89</v>
      </c>
      <c r="I4" s="749">
        <f>P13</f>
        <v>1.5</v>
      </c>
      <c r="J4" s="759">
        <v>300</v>
      </c>
      <c r="K4" s="569">
        <f t="shared" si="6"/>
        <v>75243.153999999995</v>
      </c>
      <c r="L4" s="766">
        <v>39380</v>
      </c>
      <c r="M4" s="271"/>
      <c r="P4" s="853" t="s">
        <v>466</v>
      </c>
      <c r="Q4" s="853" t="s">
        <v>467</v>
      </c>
      <c r="R4" s="853" t="s">
        <v>684</v>
      </c>
    </row>
    <row r="5" spans="1:19">
      <c r="A5" s="487" t="s">
        <v>655</v>
      </c>
      <c r="B5" s="488">
        <v>12</v>
      </c>
      <c r="C5" s="617">
        <f>M6+I5+H5</f>
        <v>23.566700000000001</v>
      </c>
      <c r="D5" s="488">
        <v>26</v>
      </c>
      <c r="E5" s="613">
        <f t="shared" si="0"/>
        <v>64949.825200000007</v>
      </c>
      <c r="F5" s="613">
        <f t="shared" si="1"/>
        <v>5514.6077999999998</v>
      </c>
      <c r="G5" s="613">
        <f t="shared" si="2"/>
        <v>70464.433000000005</v>
      </c>
      <c r="H5" s="939">
        <f>0.13+0.22+0.22+0.22</f>
        <v>0.78999999999999992</v>
      </c>
      <c r="I5" s="654">
        <f>P16</f>
        <v>1.9000000000000001</v>
      </c>
      <c r="J5" s="753">
        <v>300</v>
      </c>
      <c r="K5" s="767">
        <f t="shared" ref="K5:K23" si="7">G5+J5</f>
        <v>70764.433000000005</v>
      </c>
      <c r="L5" s="760">
        <v>38249</v>
      </c>
      <c r="M5" s="693"/>
      <c r="N5" s="481"/>
      <c r="O5" s="481"/>
      <c r="P5" s="854">
        <v>0.25</v>
      </c>
      <c r="Q5" s="855">
        <v>1</v>
      </c>
      <c r="R5" s="79"/>
    </row>
    <row r="6" spans="1:19">
      <c r="A6" s="489" t="s">
        <v>656</v>
      </c>
      <c r="B6" s="492">
        <v>11</v>
      </c>
      <c r="C6" s="617">
        <f>M6+I6+H6</f>
        <v>24.676700000000004</v>
      </c>
      <c r="D6" s="492">
        <v>26</v>
      </c>
      <c r="E6" s="614">
        <f t="shared" si="0"/>
        <v>68008.98520000001</v>
      </c>
      <c r="F6" s="614">
        <f t="shared" si="1"/>
        <v>5774.3478000000014</v>
      </c>
      <c r="G6" s="614">
        <f t="shared" si="2"/>
        <v>73783.333000000013</v>
      </c>
      <c r="H6" s="771">
        <f>0.13+0.22+0.22+0.88+0.33+0.22</f>
        <v>2</v>
      </c>
      <c r="I6" s="655">
        <f>P15</f>
        <v>1.8</v>
      </c>
      <c r="J6" s="635">
        <v>300</v>
      </c>
      <c r="K6" s="63">
        <f t="shared" si="7"/>
        <v>74083.333000000013</v>
      </c>
      <c r="L6" s="761">
        <v>38677</v>
      </c>
      <c r="M6" s="694">
        <f>20.67*1.01</f>
        <v>20.876700000000003</v>
      </c>
      <c r="N6" s="481"/>
      <c r="O6" s="481"/>
      <c r="P6" s="854">
        <f t="shared" ref="P6:P26" si="8">P5+R6</f>
        <v>0.45</v>
      </c>
      <c r="Q6" s="855">
        <v>2</v>
      </c>
      <c r="R6" s="79">
        <v>0.2</v>
      </c>
    </row>
    <row r="7" spans="1:19">
      <c r="A7" s="489" t="s">
        <v>734</v>
      </c>
      <c r="B7" s="492">
        <v>11</v>
      </c>
      <c r="C7" s="614">
        <f>M6+I7+H7</f>
        <v>24.546700000000005</v>
      </c>
      <c r="D7" s="492">
        <v>26</v>
      </c>
      <c r="E7" s="614">
        <f t="shared" si="0"/>
        <v>67650.705200000011</v>
      </c>
      <c r="F7" s="614">
        <f t="shared" si="1"/>
        <v>5743.9278000000013</v>
      </c>
      <c r="G7" s="614">
        <f t="shared" si="2"/>
        <v>73394.633000000016</v>
      </c>
      <c r="H7" s="771">
        <f>0.22+0.22+0.88+0.33+0.22</f>
        <v>1.87</v>
      </c>
      <c r="I7" s="655">
        <f>P15</f>
        <v>1.8</v>
      </c>
      <c r="J7" s="635">
        <v>300</v>
      </c>
      <c r="K7" s="341">
        <f t="shared" si="7"/>
        <v>73694.633000000016</v>
      </c>
      <c r="L7" s="761">
        <v>38628</v>
      </c>
      <c r="M7" s="695"/>
      <c r="N7" s="481"/>
      <c r="O7" s="481"/>
      <c r="P7" s="854">
        <f t="shared" si="8"/>
        <v>0.6</v>
      </c>
      <c r="Q7" s="855">
        <v>3</v>
      </c>
      <c r="R7" s="79">
        <v>0.15</v>
      </c>
    </row>
    <row r="8" spans="1:19">
      <c r="A8" s="487" t="s">
        <v>652</v>
      </c>
      <c r="B8" s="488">
        <v>10</v>
      </c>
      <c r="C8" s="613">
        <f>M9+I8+H8</f>
        <v>21.883200000000002</v>
      </c>
      <c r="D8" s="488">
        <v>26</v>
      </c>
      <c r="E8" s="613">
        <f t="shared" si="0"/>
        <v>60310.099200000004</v>
      </c>
      <c r="F8" s="613">
        <f t="shared" si="1"/>
        <v>5120.6688000000004</v>
      </c>
      <c r="G8" s="613">
        <f t="shared" si="2"/>
        <v>65430.768000000004</v>
      </c>
      <c r="H8" s="939">
        <f>0.13+0.22+0.88+0.33+0.22</f>
        <v>1.78</v>
      </c>
      <c r="I8" s="654">
        <f>P14</f>
        <v>1.6</v>
      </c>
      <c r="J8" s="753">
        <v>300</v>
      </c>
      <c r="K8" s="767">
        <f t="shared" si="7"/>
        <v>65730.768000000011</v>
      </c>
      <c r="L8" s="760">
        <v>39033</v>
      </c>
      <c r="M8" s="696"/>
      <c r="N8" s="481"/>
      <c r="O8" s="481"/>
      <c r="P8" s="854">
        <f t="shared" si="8"/>
        <v>0.7</v>
      </c>
      <c r="Q8" s="855">
        <v>4</v>
      </c>
      <c r="R8" s="79">
        <v>0.1</v>
      </c>
    </row>
    <row r="9" spans="1:19">
      <c r="A9" s="489" t="s">
        <v>494</v>
      </c>
      <c r="B9" s="492">
        <v>10</v>
      </c>
      <c r="C9" s="616">
        <f>M9+I9+H9</f>
        <v>20.763200000000001</v>
      </c>
      <c r="D9" s="492">
        <v>26</v>
      </c>
      <c r="E9" s="614">
        <f t="shared" si="0"/>
        <v>57223.37920000001</v>
      </c>
      <c r="F9" s="614">
        <f t="shared" si="1"/>
        <v>4858.5888000000004</v>
      </c>
      <c r="G9" s="614">
        <f t="shared" si="2"/>
        <v>62081.968000000008</v>
      </c>
      <c r="H9" s="771">
        <f>0.22+0.22+0.22</f>
        <v>0.66</v>
      </c>
      <c r="I9" s="655">
        <f>P14</f>
        <v>1.6</v>
      </c>
      <c r="J9" s="481">
        <v>300</v>
      </c>
      <c r="K9" s="63">
        <f t="shared" si="7"/>
        <v>62381.968000000008</v>
      </c>
      <c r="L9" s="761">
        <v>39033</v>
      </c>
      <c r="M9" s="696">
        <f>18.32*1.01</f>
        <v>18.5032</v>
      </c>
      <c r="N9" s="481"/>
      <c r="O9" s="481"/>
      <c r="P9" s="854">
        <f t="shared" si="8"/>
        <v>0.89999999999999991</v>
      </c>
      <c r="Q9" s="855">
        <v>5</v>
      </c>
      <c r="R9" s="79">
        <v>0.2</v>
      </c>
    </row>
    <row r="10" spans="1:19">
      <c r="A10" s="489" t="s">
        <v>422</v>
      </c>
      <c r="B10" s="492">
        <v>9</v>
      </c>
      <c r="C10" s="616">
        <f>M9+I10+H10</f>
        <v>21.8932</v>
      </c>
      <c r="D10" s="492">
        <v>26</v>
      </c>
      <c r="E10" s="614">
        <f t="shared" si="0"/>
        <v>60337.659200000002</v>
      </c>
      <c r="F10" s="614">
        <f t="shared" si="1"/>
        <v>5123.0088000000005</v>
      </c>
      <c r="G10" s="614">
        <f t="shared" si="2"/>
        <v>65460.668000000005</v>
      </c>
      <c r="H10" s="771">
        <f>0.13+0.22+0.22+0.88+0.22+0.22</f>
        <v>1.89</v>
      </c>
      <c r="I10" s="655">
        <f>P13</f>
        <v>1.5</v>
      </c>
      <c r="J10" s="635">
        <v>300</v>
      </c>
      <c r="K10" s="63">
        <f t="shared" si="7"/>
        <v>65760.668000000005</v>
      </c>
      <c r="L10" s="761">
        <v>39377</v>
      </c>
      <c r="M10" s="696"/>
      <c r="N10" s="481"/>
      <c r="O10" s="481"/>
      <c r="P10" s="854">
        <f t="shared" si="8"/>
        <v>0.99999999999999989</v>
      </c>
      <c r="Q10" s="855">
        <v>6</v>
      </c>
      <c r="R10" s="79">
        <v>0.1</v>
      </c>
    </row>
    <row r="11" spans="1:19">
      <c r="A11" s="494" t="s">
        <v>682</v>
      </c>
      <c r="B11" s="546">
        <v>7</v>
      </c>
      <c r="C11" s="616">
        <f>M9+I11+H11</f>
        <v>21.373199999999997</v>
      </c>
      <c r="D11" s="546">
        <v>26</v>
      </c>
      <c r="E11" s="616">
        <f t="shared" si="0"/>
        <v>58904.539199999992</v>
      </c>
      <c r="F11" s="616">
        <f t="shared" si="1"/>
        <v>5001.3287999999993</v>
      </c>
      <c r="G11" s="616">
        <f t="shared" si="2"/>
        <v>63905.867999999988</v>
      </c>
      <c r="H11" s="771">
        <f>0.13+0.22+0.88+0.22+0.22</f>
        <v>1.67</v>
      </c>
      <c r="I11" s="657">
        <f>P11</f>
        <v>1.2</v>
      </c>
      <c r="J11" s="635">
        <v>300</v>
      </c>
      <c r="K11" s="63">
        <f t="shared" si="7"/>
        <v>64205.867999999988</v>
      </c>
      <c r="L11" s="763">
        <v>39987</v>
      </c>
      <c r="M11" s="696"/>
      <c r="N11" s="481"/>
      <c r="O11" s="481"/>
      <c r="P11" s="854">
        <f t="shared" si="8"/>
        <v>1.2</v>
      </c>
      <c r="Q11" s="855">
        <v>7</v>
      </c>
      <c r="R11" s="79">
        <v>0.2</v>
      </c>
    </row>
    <row r="12" spans="1:19">
      <c r="A12" s="489" t="s">
        <v>683</v>
      </c>
      <c r="B12" s="492">
        <v>7</v>
      </c>
      <c r="C12" s="617">
        <f>M9+I12+H12</f>
        <v>21.373199999999997</v>
      </c>
      <c r="D12" s="492">
        <v>26</v>
      </c>
      <c r="E12" s="614">
        <f t="shared" si="0"/>
        <v>58904.539199999992</v>
      </c>
      <c r="F12" s="614">
        <f t="shared" si="1"/>
        <v>5001.3287999999993</v>
      </c>
      <c r="G12" s="614">
        <f t="shared" si="2"/>
        <v>63905.867999999988</v>
      </c>
      <c r="H12" s="771">
        <f>0.13+0.22+0.88+0.22+0.22</f>
        <v>1.67</v>
      </c>
      <c r="I12" s="655">
        <f>P11</f>
        <v>1.2</v>
      </c>
      <c r="J12" s="635">
        <v>300</v>
      </c>
      <c r="K12" s="63">
        <f t="shared" ref="K12:K13" si="9">G12+J12</f>
        <v>64205.867999999988</v>
      </c>
      <c r="L12" s="761">
        <v>39987</v>
      </c>
      <c r="N12" s="481"/>
      <c r="O12" s="481"/>
      <c r="P12" s="854">
        <f t="shared" si="8"/>
        <v>1.3</v>
      </c>
      <c r="Q12" s="855">
        <v>8</v>
      </c>
      <c r="R12" s="79">
        <v>0.1</v>
      </c>
      <c r="S12" s="481"/>
    </row>
    <row r="13" spans="1:19">
      <c r="A13" s="493" t="s">
        <v>735</v>
      </c>
      <c r="B13" s="545">
        <v>11</v>
      </c>
      <c r="C13" s="615">
        <f>M9+I13+H13</f>
        <v>21.623200000000001</v>
      </c>
      <c r="D13" s="545">
        <v>26</v>
      </c>
      <c r="E13" s="615">
        <f t="shared" si="0"/>
        <v>59593.539200000007</v>
      </c>
      <c r="F13" s="615">
        <f t="shared" si="1"/>
        <v>5059.8288000000002</v>
      </c>
      <c r="G13" s="615">
        <f t="shared" si="2"/>
        <v>64653.368000000009</v>
      </c>
      <c r="H13" s="941">
        <f>0.22+0.88+0.22</f>
        <v>1.32</v>
      </c>
      <c r="I13" s="656">
        <f>P15</f>
        <v>1.8</v>
      </c>
      <c r="J13" s="756">
        <v>300</v>
      </c>
      <c r="K13" s="341">
        <f t="shared" si="9"/>
        <v>64953.368000000009</v>
      </c>
      <c r="L13" s="762">
        <v>38942</v>
      </c>
      <c r="M13" s="695"/>
      <c r="N13" s="481"/>
      <c r="O13" s="481"/>
      <c r="P13" s="854">
        <f t="shared" si="8"/>
        <v>1.5</v>
      </c>
      <c r="Q13" s="855">
        <v>9</v>
      </c>
      <c r="R13" s="79">
        <v>0.2</v>
      </c>
    </row>
    <row r="14" spans="1:19">
      <c r="A14" s="495" t="s">
        <v>328</v>
      </c>
      <c r="B14" s="496">
        <v>9</v>
      </c>
      <c r="C14" s="617">
        <f>M15+I14+H14</f>
        <v>18.571200000000001</v>
      </c>
      <c r="D14" s="496">
        <v>26</v>
      </c>
      <c r="E14" s="617">
        <f t="shared" si="0"/>
        <v>51182.227200000008</v>
      </c>
      <c r="F14" s="617">
        <f t="shared" si="1"/>
        <v>4345.6608000000006</v>
      </c>
      <c r="G14" s="617">
        <f t="shared" si="2"/>
        <v>55527.888000000006</v>
      </c>
      <c r="H14" s="942">
        <f>0.13+0.22+0.22+0.22</f>
        <v>0.78999999999999992</v>
      </c>
      <c r="I14" s="658">
        <f>P13</f>
        <v>1.5</v>
      </c>
      <c r="J14" s="757">
        <v>300</v>
      </c>
      <c r="K14" s="767">
        <f t="shared" si="7"/>
        <v>55827.888000000006</v>
      </c>
      <c r="L14" s="764">
        <v>39378</v>
      </c>
      <c r="M14" s="752"/>
      <c r="O14" s="481"/>
      <c r="P14" s="854">
        <f t="shared" si="8"/>
        <v>1.6</v>
      </c>
      <c r="Q14" s="855">
        <v>10</v>
      </c>
      <c r="R14" s="79">
        <v>0.1</v>
      </c>
    </row>
    <row r="15" spans="1:19">
      <c r="A15" s="489" t="s">
        <v>421</v>
      </c>
      <c r="B15" s="492">
        <v>9</v>
      </c>
      <c r="C15" s="617">
        <f>M15+I15+H15</f>
        <v>19.321200000000001</v>
      </c>
      <c r="D15" s="492">
        <v>26</v>
      </c>
      <c r="E15" s="614">
        <f t="shared" si="0"/>
        <v>53249.227200000001</v>
      </c>
      <c r="F15" s="614">
        <f t="shared" si="1"/>
        <v>4521.1608000000006</v>
      </c>
      <c r="G15" s="614">
        <f t="shared" si="2"/>
        <v>57770.387999999999</v>
      </c>
      <c r="H15" s="771">
        <f>0.22+0.88+0.22+0.22</f>
        <v>1.54</v>
      </c>
      <c r="I15" s="655">
        <f>P13</f>
        <v>1.5</v>
      </c>
      <c r="J15" s="635">
        <v>300</v>
      </c>
      <c r="K15" s="63">
        <f t="shared" si="7"/>
        <v>58070.387999999999</v>
      </c>
      <c r="L15" s="761">
        <v>39649</v>
      </c>
      <c r="M15" s="697">
        <f>16.12*1.01</f>
        <v>16.281200000000002</v>
      </c>
      <c r="N15" s="24" t="s">
        <v>329</v>
      </c>
      <c r="P15" s="854">
        <f t="shared" si="8"/>
        <v>1.8</v>
      </c>
      <c r="Q15" s="855">
        <v>11</v>
      </c>
      <c r="R15" s="79">
        <v>0.2</v>
      </c>
    </row>
    <row r="16" spans="1:19">
      <c r="A16" s="489" t="s">
        <v>382</v>
      </c>
      <c r="B16" s="492">
        <v>7</v>
      </c>
      <c r="C16" s="617">
        <f>M15+I16+H16</f>
        <v>18.801200000000001</v>
      </c>
      <c r="D16" s="492">
        <v>26</v>
      </c>
      <c r="E16" s="614">
        <f>106*C16*D16</f>
        <v>51816.107199999999</v>
      </c>
      <c r="F16" s="614">
        <f>9*C16*D16</f>
        <v>4399.4808000000003</v>
      </c>
      <c r="G16" s="614">
        <f>E16+F16</f>
        <v>56215.587999999996</v>
      </c>
      <c r="H16" s="771">
        <f>0.22+0.88+0.22</f>
        <v>1.32</v>
      </c>
      <c r="I16" s="655">
        <f>P11</f>
        <v>1.2</v>
      </c>
      <c r="J16" s="635">
        <v>300</v>
      </c>
      <c r="K16" s="63">
        <f t="shared" si="7"/>
        <v>56515.587999999996</v>
      </c>
      <c r="L16" s="761">
        <v>40078</v>
      </c>
      <c r="P16" s="854">
        <f t="shared" si="8"/>
        <v>1.9000000000000001</v>
      </c>
      <c r="Q16" s="855">
        <v>12</v>
      </c>
      <c r="R16" s="79">
        <v>0.1</v>
      </c>
    </row>
    <row r="17" spans="1:18">
      <c r="A17" s="489" t="s">
        <v>650</v>
      </c>
      <c r="B17" s="492">
        <v>7</v>
      </c>
      <c r="C17" s="617">
        <f>M15+I17+H17</f>
        <v>19.151200000000003</v>
      </c>
      <c r="D17" s="492">
        <v>26</v>
      </c>
      <c r="E17" s="614">
        <f t="shared" ref="E17:E23" si="10">106*C17*D17</f>
        <v>52780.707200000004</v>
      </c>
      <c r="F17" s="614">
        <f t="shared" ref="F17:F23" si="11">9*C17*D17</f>
        <v>4481.3808000000008</v>
      </c>
      <c r="G17" s="614">
        <f t="shared" ref="G17:G26" si="12">E17+F17</f>
        <v>57262.088000000003</v>
      </c>
      <c r="H17" s="771">
        <f>0.13+0.22+0.88+0.22+0.22</f>
        <v>1.67</v>
      </c>
      <c r="I17" s="655">
        <f>P11</f>
        <v>1.2</v>
      </c>
      <c r="J17" s="635">
        <v>300</v>
      </c>
      <c r="K17" s="63">
        <f t="shared" si="7"/>
        <v>57562.088000000003</v>
      </c>
      <c r="L17" s="761">
        <v>40419</v>
      </c>
      <c r="M17" s="697">
        <f>15.06*1.01</f>
        <v>15.210600000000001</v>
      </c>
      <c r="N17" s="24" t="s">
        <v>330</v>
      </c>
      <c r="P17" s="854">
        <f t="shared" si="8"/>
        <v>2.1</v>
      </c>
      <c r="Q17" s="855">
        <v>13</v>
      </c>
      <c r="R17" s="79">
        <v>0.2</v>
      </c>
    </row>
    <row r="18" spans="1:18">
      <c r="A18" s="489" t="s">
        <v>423</v>
      </c>
      <c r="B18" s="492">
        <v>6</v>
      </c>
      <c r="C18" s="617">
        <f>M15+I18+H18</f>
        <v>18.821200000000001</v>
      </c>
      <c r="D18" s="492">
        <v>26</v>
      </c>
      <c r="E18" s="614">
        <f t="shared" ref="E18:E21" si="13">106*C18*D18</f>
        <v>51871.227200000008</v>
      </c>
      <c r="F18" s="614">
        <f t="shared" ref="F18:F21" si="14">9*C18*D18</f>
        <v>4404.1608000000006</v>
      </c>
      <c r="G18" s="614">
        <f t="shared" ref="G18:G21" si="15">E18+F18</f>
        <v>56275.388000000006</v>
      </c>
      <c r="H18" s="771">
        <f>0.22+0.44+0.88</f>
        <v>1.54</v>
      </c>
      <c r="I18" s="655">
        <f>P10</f>
        <v>0.99999999999999989</v>
      </c>
      <c r="J18" s="635">
        <v>300</v>
      </c>
      <c r="K18" s="63">
        <f t="shared" si="7"/>
        <v>56575.388000000006</v>
      </c>
      <c r="L18" s="761">
        <v>40567</v>
      </c>
      <c r="M18" s="694"/>
      <c r="N18" s="100"/>
      <c r="P18" s="854">
        <f t="shared" si="8"/>
        <v>2.2000000000000002</v>
      </c>
      <c r="Q18" s="855">
        <v>14</v>
      </c>
      <c r="R18" s="79">
        <v>0.1</v>
      </c>
    </row>
    <row r="19" spans="1:18">
      <c r="A19" s="494" t="s">
        <v>463</v>
      </c>
      <c r="B19" s="546">
        <v>5</v>
      </c>
      <c r="C19" s="617">
        <f>M15+I19+H19</f>
        <v>17.841200000000001</v>
      </c>
      <c r="D19" s="546">
        <v>26</v>
      </c>
      <c r="E19" s="616">
        <f t="shared" si="13"/>
        <v>49170.347200000004</v>
      </c>
      <c r="F19" s="616">
        <f t="shared" si="14"/>
        <v>4174.8408000000009</v>
      </c>
      <c r="G19" s="616">
        <f t="shared" si="15"/>
        <v>53345.188000000002</v>
      </c>
      <c r="H19" s="771">
        <f>0.22+0.22+0.22</f>
        <v>0.66</v>
      </c>
      <c r="I19" s="657">
        <f>P9</f>
        <v>0.89999999999999991</v>
      </c>
      <c r="J19" s="635">
        <v>300</v>
      </c>
      <c r="K19" s="63">
        <f t="shared" si="7"/>
        <v>53645.188000000002</v>
      </c>
      <c r="L19" s="763">
        <v>40915</v>
      </c>
      <c r="M19" s="694"/>
      <c r="N19" s="100"/>
      <c r="P19" s="854">
        <f t="shared" si="8"/>
        <v>2.4000000000000004</v>
      </c>
      <c r="Q19" s="855">
        <v>15</v>
      </c>
      <c r="R19" s="79">
        <v>0.2</v>
      </c>
    </row>
    <row r="20" spans="1:18">
      <c r="A20" s="502" t="s">
        <v>651</v>
      </c>
      <c r="B20" s="546">
        <v>5</v>
      </c>
      <c r="C20" s="617">
        <f>M15+I20+H20</f>
        <v>18.411200000000001</v>
      </c>
      <c r="D20" s="503">
        <v>26</v>
      </c>
      <c r="E20" s="618">
        <f t="shared" si="13"/>
        <v>50741.267200000002</v>
      </c>
      <c r="F20" s="618">
        <f t="shared" si="14"/>
        <v>4308.2208000000001</v>
      </c>
      <c r="G20" s="618">
        <f t="shared" si="15"/>
        <v>55049.488000000005</v>
      </c>
      <c r="H20" s="771">
        <f>0.13+0.22+0.44+0.22+0.22</f>
        <v>1.23</v>
      </c>
      <c r="I20" s="659">
        <f>P9</f>
        <v>0.89999999999999991</v>
      </c>
      <c r="J20" s="635">
        <v>300</v>
      </c>
      <c r="K20" s="63">
        <f t="shared" si="7"/>
        <v>55349.488000000005</v>
      </c>
      <c r="L20" s="765">
        <v>40939</v>
      </c>
      <c r="M20" s="694"/>
      <c r="N20" s="100"/>
      <c r="P20" s="854">
        <f t="shared" si="8"/>
        <v>2.5000000000000004</v>
      </c>
      <c r="Q20" s="855">
        <v>16</v>
      </c>
      <c r="R20" s="79">
        <v>0.1</v>
      </c>
    </row>
    <row r="21" spans="1:18">
      <c r="A21" s="297" t="s">
        <v>495</v>
      </c>
      <c r="B21" s="492">
        <v>4</v>
      </c>
      <c r="C21" s="614">
        <f>M15+I21+H21</f>
        <v>17.2012</v>
      </c>
      <c r="D21" s="492">
        <v>26</v>
      </c>
      <c r="E21" s="614">
        <f t="shared" si="13"/>
        <v>47406.5072</v>
      </c>
      <c r="F21" s="614">
        <f t="shared" si="14"/>
        <v>4025.0808000000002</v>
      </c>
      <c r="G21" s="614">
        <f t="shared" si="15"/>
        <v>51431.588000000003</v>
      </c>
      <c r="H21" s="771">
        <f>0.22</f>
        <v>0.22</v>
      </c>
      <c r="I21" s="655">
        <f>P8</f>
        <v>0.7</v>
      </c>
      <c r="J21" s="758">
        <v>300</v>
      </c>
      <c r="K21" s="63">
        <f t="shared" si="7"/>
        <v>51731.588000000003</v>
      </c>
      <c r="L21" s="761">
        <v>41365</v>
      </c>
      <c r="M21" s="694"/>
      <c r="N21" s="100"/>
      <c r="P21" s="854">
        <f t="shared" si="8"/>
        <v>2.7000000000000006</v>
      </c>
      <c r="Q21" s="855">
        <v>17</v>
      </c>
      <c r="R21" s="79">
        <v>0.2</v>
      </c>
    </row>
    <row r="22" spans="1:18">
      <c r="A22" s="297" t="s">
        <v>657</v>
      </c>
      <c r="B22" s="492">
        <v>2</v>
      </c>
      <c r="C22" s="614">
        <f>M15+I22+H22</f>
        <v>16.9512</v>
      </c>
      <c r="D22" s="492">
        <v>26</v>
      </c>
      <c r="E22" s="614">
        <f t="shared" si="10"/>
        <v>46717.5072</v>
      </c>
      <c r="F22" s="614">
        <f t="shared" si="11"/>
        <v>3966.5808000000002</v>
      </c>
      <c r="G22" s="614">
        <f t="shared" si="12"/>
        <v>50684.088000000003</v>
      </c>
      <c r="H22" s="771">
        <f>0.22</f>
        <v>0.22</v>
      </c>
      <c r="I22" s="655">
        <f>P6</f>
        <v>0.45</v>
      </c>
      <c r="J22" s="758">
        <v>300</v>
      </c>
      <c r="K22" s="63">
        <f t="shared" si="7"/>
        <v>50984.088000000003</v>
      </c>
      <c r="L22" s="761">
        <v>42122</v>
      </c>
      <c r="M22" s="694"/>
      <c r="N22" s="100"/>
      <c r="P22" s="854">
        <f t="shared" si="8"/>
        <v>2.8000000000000007</v>
      </c>
      <c r="Q22" s="855">
        <v>18</v>
      </c>
      <c r="R22" s="79">
        <v>0.1</v>
      </c>
    </row>
    <row r="23" spans="1:18">
      <c r="A23" s="297" t="s">
        <v>736</v>
      </c>
      <c r="B23" s="492">
        <v>1</v>
      </c>
      <c r="C23" s="614">
        <f>M15+I23+H23</f>
        <v>16.751200000000001</v>
      </c>
      <c r="D23" s="492">
        <v>26</v>
      </c>
      <c r="E23" s="614">
        <f t="shared" si="10"/>
        <v>46166.307200000003</v>
      </c>
      <c r="F23" s="614">
        <f t="shared" si="11"/>
        <v>3919.7808000000005</v>
      </c>
      <c r="G23" s="614">
        <f t="shared" si="12"/>
        <v>50086.088000000003</v>
      </c>
      <c r="H23" s="771">
        <f>0.22</f>
        <v>0.22</v>
      </c>
      <c r="I23" s="655">
        <f>P5</f>
        <v>0.25</v>
      </c>
      <c r="J23" s="758">
        <v>300</v>
      </c>
      <c r="K23" s="63">
        <f t="shared" si="7"/>
        <v>50386.088000000003</v>
      </c>
      <c r="L23" s="761">
        <v>42421</v>
      </c>
      <c r="M23" s="694"/>
      <c r="N23" s="100"/>
      <c r="P23" s="854">
        <f t="shared" si="8"/>
        <v>3.0000000000000009</v>
      </c>
      <c r="Q23" s="855">
        <v>19</v>
      </c>
      <c r="R23" s="79">
        <v>0.2</v>
      </c>
    </row>
    <row r="24" spans="1:18">
      <c r="A24" s="489" t="s">
        <v>737</v>
      </c>
      <c r="B24" s="492">
        <v>1</v>
      </c>
      <c r="C24" s="614">
        <f>M15+I24+H24</f>
        <v>16.751200000000001</v>
      </c>
      <c r="D24" s="492">
        <v>26</v>
      </c>
      <c r="E24" s="614">
        <f>106*C24*D24</f>
        <v>46166.307200000003</v>
      </c>
      <c r="F24" s="614">
        <f>9*C24*D24</f>
        <v>3919.7808000000005</v>
      </c>
      <c r="G24" s="614">
        <f t="shared" si="12"/>
        <v>50086.088000000003</v>
      </c>
      <c r="H24" s="771">
        <f>0.22</f>
        <v>0.22</v>
      </c>
      <c r="I24" s="655">
        <f>P5</f>
        <v>0.25</v>
      </c>
      <c r="J24" s="823">
        <v>300</v>
      </c>
      <c r="K24" s="822">
        <f>G24+J24</f>
        <v>50386.088000000003</v>
      </c>
      <c r="L24" s="824">
        <v>42429</v>
      </c>
      <c r="M24" s="694"/>
      <c r="N24" s="100"/>
      <c r="P24" s="854">
        <f t="shared" si="8"/>
        <v>3.100000000000001</v>
      </c>
      <c r="Q24" s="855">
        <v>20</v>
      </c>
      <c r="R24" s="79">
        <v>0.1</v>
      </c>
    </row>
    <row r="25" spans="1:18">
      <c r="A25" s="489" t="s">
        <v>738</v>
      </c>
      <c r="B25" s="492">
        <v>1</v>
      </c>
      <c r="C25" s="614">
        <f>M15+I25+H25</f>
        <v>16.751200000000001</v>
      </c>
      <c r="D25" s="492">
        <v>26</v>
      </c>
      <c r="E25" s="614">
        <f>106*C25*D25</f>
        <v>46166.307200000003</v>
      </c>
      <c r="F25" s="614">
        <f>9*C25*D25</f>
        <v>3919.7808000000005</v>
      </c>
      <c r="G25" s="614">
        <f t="shared" si="12"/>
        <v>50086.088000000003</v>
      </c>
      <c r="H25" s="771">
        <f>0.22</f>
        <v>0.22</v>
      </c>
      <c r="I25" s="655">
        <f>P5</f>
        <v>0.25</v>
      </c>
      <c r="J25" s="823">
        <v>300</v>
      </c>
      <c r="K25" s="822">
        <f>G25+J25</f>
        <v>50386.088000000003</v>
      </c>
      <c r="L25" s="824">
        <v>42429</v>
      </c>
      <c r="M25" s="698"/>
      <c r="N25" s="100"/>
      <c r="P25" s="854">
        <f t="shared" si="8"/>
        <v>3.3000000000000012</v>
      </c>
      <c r="Q25" s="855">
        <v>21</v>
      </c>
      <c r="R25" s="79">
        <v>0.2</v>
      </c>
    </row>
    <row r="26" spans="1:18">
      <c r="A26" s="489" t="s">
        <v>748</v>
      </c>
      <c r="B26" s="492">
        <v>1</v>
      </c>
      <c r="C26" s="614">
        <f>M15+I26+H26</f>
        <v>17.191200000000002</v>
      </c>
      <c r="D26" s="492">
        <v>26</v>
      </c>
      <c r="E26" s="614">
        <f>106*C26*D26</f>
        <v>47378.94720000001</v>
      </c>
      <c r="F26" s="614">
        <f>9*C26*D26</f>
        <v>4022.7408000000005</v>
      </c>
      <c r="G26" s="614">
        <f t="shared" si="12"/>
        <v>51401.688000000009</v>
      </c>
      <c r="H26" s="771">
        <f>0.22+0.44</f>
        <v>0.66</v>
      </c>
      <c r="I26" s="771">
        <f>P5</f>
        <v>0.25</v>
      </c>
      <c r="J26" s="492">
        <v>300</v>
      </c>
      <c r="K26" s="547">
        <f>G26+J26</f>
        <v>51701.688000000009</v>
      </c>
      <c r="L26" s="761">
        <v>42534</v>
      </c>
      <c r="M26" s="694"/>
      <c r="N26" s="100"/>
      <c r="P26" s="854">
        <f t="shared" si="8"/>
        <v>3.4000000000000012</v>
      </c>
      <c r="Q26" s="855">
        <v>22</v>
      </c>
      <c r="R26" s="79">
        <v>0.1</v>
      </c>
    </row>
    <row r="27" spans="1:18">
      <c r="A27" s="489" t="s">
        <v>749</v>
      </c>
      <c r="B27" s="492">
        <v>1</v>
      </c>
      <c r="C27" s="614">
        <f>M15+I27+H27</f>
        <v>16.751200000000001</v>
      </c>
      <c r="D27" s="492">
        <v>26</v>
      </c>
      <c r="E27" s="614">
        <f>106*C27*D27</f>
        <v>46166.307200000003</v>
      </c>
      <c r="F27" s="614">
        <f>9*C27*D27</f>
        <v>3919.7808000000005</v>
      </c>
      <c r="G27" s="614">
        <f>E27+F27</f>
        <v>50086.088000000003</v>
      </c>
      <c r="H27" s="771">
        <f>0.22</f>
        <v>0.22</v>
      </c>
      <c r="I27" s="771">
        <f>P5</f>
        <v>0.25</v>
      </c>
      <c r="J27" s="492">
        <v>300</v>
      </c>
      <c r="K27" s="547">
        <f>G27+J27</f>
        <v>50386.088000000003</v>
      </c>
      <c r="L27" s="761">
        <v>42555</v>
      </c>
      <c r="M27" s="271"/>
      <c r="N27" s="481"/>
      <c r="P27" s="854">
        <f t="shared" ref="P27:P32" si="16">P26+R27</f>
        <v>3.6000000000000014</v>
      </c>
      <c r="Q27" s="855">
        <v>23</v>
      </c>
      <c r="R27" s="79">
        <v>0.2</v>
      </c>
    </row>
    <row r="28" spans="1:18">
      <c r="A28" s="489" t="s">
        <v>756</v>
      </c>
      <c r="B28" s="492">
        <v>1</v>
      </c>
      <c r="C28" s="614">
        <f>M15+I28+H28</f>
        <v>16.751200000000001</v>
      </c>
      <c r="D28" s="492">
        <v>26</v>
      </c>
      <c r="E28" s="614">
        <f>106*C28*D28</f>
        <v>46166.307200000003</v>
      </c>
      <c r="F28" s="614">
        <f>9*C28*D28</f>
        <v>3919.7808000000005</v>
      </c>
      <c r="G28" s="614">
        <f>E28+F28</f>
        <v>50086.088000000003</v>
      </c>
      <c r="H28" s="771">
        <f>0.22</f>
        <v>0.22</v>
      </c>
      <c r="I28" s="771">
        <f>P5</f>
        <v>0.25</v>
      </c>
      <c r="J28" s="492">
        <v>300</v>
      </c>
      <c r="K28" s="547">
        <f>G28+J28</f>
        <v>50386.088000000003</v>
      </c>
      <c r="L28" s="761">
        <v>42604</v>
      </c>
      <c r="M28" s="271"/>
      <c r="N28" s="481"/>
      <c r="P28" s="854">
        <f>P27+R28</f>
        <v>3.7000000000000015</v>
      </c>
      <c r="Q28" s="855">
        <v>24</v>
      </c>
      <c r="R28" s="79">
        <v>0.1</v>
      </c>
    </row>
    <row r="29" spans="1:18">
      <c r="C29" s="619"/>
      <c r="H29" s="481" t="s">
        <v>132</v>
      </c>
      <c r="I29" s="620"/>
      <c r="J29" s="778"/>
      <c r="M29" s="696"/>
      <c r="P29" s="854">
        <f>P28+R29</f>
        <v>3.9000000000000017</v>
      </c>
      <c r="Q29" s="855">
        <v>25</v>
      </c>
      <c r="R29" s="79">
        <v>0.2</v>
      </c>
    </row>
    <row r="30" spans="1:18" ht="13.5">
      <c r="A30" s="487" t="s">
        <v>62</v>
      </c>
      <c r="B30" s="707">
        <f>AVERAGE(B2:B27)</f>
        <v>6.884615384615385</v>
      </c>
      <c r="C30" s="708">
        <f>AVERAGE(C2:C27)</f>
        <v>20.242688461538457</v>
      </c>
      <c r="D30" s="488"/>
      <c r="E30" s="708">
        <f>SUM(E2:E27)</f>
        <v>1450510.0843999998</v>
      </c>
      <c r="F30" s="613">
        <f>SUM(F2:F27)</f>
        <v>123156.51660000003</v>
      </c>
      <c r="G30" s="708">
        <f>SUM(G2:G27)</f>
        <v>1573666.6010000003</v>
      </c>
      <c r="H30" s="708">
        <f>AVERAGE(H2:H27)</f>
        <v>1.1346153846153846</v>
      </c>
      <c r="I30" s="708">
        <f>AVERAGE(I2:I27)</f>
        <v>1.1615384615384614</v>
      </c>
      <c r="J30" s="709">
        <f>SUM(J2:J27)</f>
        <v>7800</v>
      </c>
      <c r="K30" s="713">
        <f>SUM(K2:K27)</f>
        <v>1581466.6010000003</v>
      </c>
      <c r="L30" s="481"/>
      <c r="M30" s="696"/>
      <c r="O30"/>
      <c r="P30" s="854">
        <f>P29+R30</f>
        <v>4.0000000000000018</v>
      </c>
      <c r="Q30" s="855">
        <v>26</v>
      </c>
      <c r="R30" s="79">
        <v>0.1</v>
      </c>
    </row>
    <row r="31" spans="1:18">
      <c r="A31" s="489" t="s">
        <v>63</v>
      </c>
      <c r="B31" s="492"/>
      <c r="C31" s="492" t="s">
        <v>426</v>
      </c>
      <c r="D31" s="492"/>
      <c r="E31" s="492"/>
      <c r="F31" s="492"/>
      <c r="G31" s="492"/>
      <c r="H31" s="492"/>
      <c r="I31" s="635"/>
      <c r="J31" s="635"/>
      <c r="K31" s="813">
        <v>115000</v>
      </c>
      <c r="L31" s="481"/>
      <c r="M31" s="696"/>
      <c r="O31"/>
      <c r="P31" s="854">
        <f>P30+R31</f>
        <v>4.200000000000002</v>
      </c>
      <c r="Q31" s="855">
        <v>27</v>
      </c>
      <c r="R31" s="79">
        <v>0.2</v>
      </c>
    </row>
    <row r="32" spans="1:18">
      <c r="A32" s="489" t="s">
        <v>172</v>
      </c>
      <c r="B32" s="492"/>
      <c r="C32" s="492" t="s">
        <v>513</v>
      </c>
      <c r="D32" s="492"/>
      <c r="E32" s="492"/>
      <c r="F32" s="492"/>
      <c r="G32" s="492"/>
      <c r="H32" s="492"/>
      <c r="I32" s="635"/>
      <c r="J32" s="635"/>
      <c r="K32" s="813">
        <v>25000</v>
      </c>
      <c r="L32" s="481"/>
      <c r="M32" s="16"/>
      <c r="N32"/>
      <c r="P32" s="854">
        <f t="shared" si="16"/>
        <v>4.3000000000000016</v>
      </c>
      <c r="Q32" s="855">
        <v>28</v>
      </c>
      <c r="R32" s="79">
        <v>0.1</v>
      </c>
    </row>
    <row r="33" spans="1:18" ht="15" customHeight="1">
      <c r="A33" s="489" t="s">
        <v>465</v>
      </c>
      <c r="B33" s="492"/>
      <c r="C33" s="492"/>
      <c r="D33" s="492"/>
      <c r="E33" s="492"/>
      <c r="F33" s="490"/>
      <c r="G33" s="490"/>
      <c r="H33" s="490"/>
      <c r="I33" s="514"/>
      <c r="J33" s="514"/>
      <c r="K33" s="812">
        <v>22000</v>
      </c>
      <c r="L33" s="481"/>
      <c r="M33" s="696">
        <f>12.26*1.01</f>
        <v>12.3826</v>
      </c>
      <c r="P33" s="854">
        <f>P32+R33</f>
        <v>4.5000000000000018</v>
      </c>
      <c r="Q33" s="855">
        <v>29</v>
      </c>
      <c r="R33" s="79">
        <v>0.2</v>
      </c>
    </row>
    <row r="34" spans="1:18" ht="15" customHeight="1" thickBot="1">
      <c r="A34" s="497"/>
      <c r="B34" s="498"/>
      <c r="C34" s="498"/>
      <c r="D34" s="498"/>
      <c r="E34" s="498"/>
      <c r="F34" s="498"/>
      <c r="G34" s="498" t="s">
        <v>66</v>
      </c>
      <c r="H34" s="498"/>
      <c r="I34" s="499"/>
      <c r="J34" s="499"/>
      <c r="K34" s="714">
        <f>SUM(K30:K33)</f>
        <v>1743466.6010000003</v>
      </c>
      <c r="L34" s="481"/>
      <c r="M34" s="696"/>
      <c r="P34" s="854">
        <f>P33+R34</f>
        <v>4.6000000000000014</v>
      </c>
      <c r="Q34" s="855">
        <v>30</v>
      </c>
      <c r="R34" s="79">
        <v>0.1</v>
      </c>
    </row>
    <row r="35" spans="1:18" ht="15" customHeight="1">
      <c r="A35" s="481"/>
      <c r="B35" s="481"/>
      <c r="C35" s="481"/>
      <c r="D35" s="481"/>
      <c r="E35" s="481"/>
      <c r="F35" s="481"/>
      <c r="G35" s="481"/>
      <c r="I35" s="481"/>
      <c r="J35" s="481"/>
      <c r="K35" s="481"/>
      <c r="L35" s="481"/>
      <c r="M35" s="696"/>
      <c r="O35"/>
    </row>
    <row r="36" spans="1:18" ht="18.75" customHeight="1">
      <c r="A36" s="500" t="s">
        <v>351</v>
      </c>
      <c r="B36" s="482" t="s">
        <v>58</v>
      </c>
      <c r="C36" s="482" t="s">
        <v>59</v>
      </c>
      <c r="D36" s="482" t="s">
        <v>60</v>
      </c>
      <c r="E36" s="482" t="s">
        <v>350</v>
      </c>
      <c r="F36" s="482" t="s">
        <v>391</v>
      </c>
      <c r="G36" s="482" t="s">
        <v>61</v>
      </c>
      <c r="H36" s="482" t="s">
        <v>537</v>
      </c>
      <c r="I36" s="482" t="s">
        <v>538</v>
      </c>
      <c r="J36" s="482" t="s">
        <v>649</v>
      </c>
      <c r="K36" s="501" t="s">
        <v>349</v>
      </c>
      <c r="L36" s="482" t="s">
        <v>341</v>
      </c>
      <c r="M36" s="943" t="s">
        <v>757</v>
      </c>
    </row>
    <row r="37" spans="1:18" ht="18" customHeight="1">
      <c r="A37" s="489" t="s">
        <v>464</v>
      </c>
      <c r="B37" s="492">
        <v>11</v>
      </c>
      <c r="C37" s="614">
        <f>M37+H37+I37</f>
        <v>72.005099999999999</v>
      </c>
      <c r="D37" s="492">
        <v>26</v>
      </c>
      <c r="E37" s="614">
        <f>C37*D37*80</f>
        <v>149770.60800000001</v>
      </c>
      <c r="F37" s="614"/>
      <c r="G37" s="614">
        <f t="shared" ref="G37:G45" si="17">E37+F37</f>
        <v>149770.60800000001</v>
      </c>
      <c r="H37" s="771">
        <f>1.15+0.58+0.29</f>
        <v>2.02</v>
      </c>
      <c r="I37" s="772">
        <f>P15</f>
        <v>1.8</v>
      </c>
      <c r="J37" s="768">
        <v>300</v>
      </c>
      <c r="K37" s="547">
        <f>G37+J37</f>
        <v>150070.60800000001</v>
      </c>
      <c r="L37" s="690">
        <v>38626</v>
      </c>
      <c r="M37" s="614">
        <f>67.51*1.01</f>
        <v>68.185100000000006</v>
      </c>
      <c r="P37" s="515"/>
      <c r="Q37" s="513"/>
    </row>
    <row r="38" spans="1:18" ht="18" customHeight="1">
      <c r="A38" s="489" t="s">
        <v>331</v>
      </c>
      <c r="B38" s="492">
        <v>16</v>
      </c>
      <c r="C38" s="614">
        <f>M38+N38+I38+H38</f>
        <v>45.898099999999999</v>
      </c>
      <c r="D38" s="492">
        <v>26</v>
      </c>
      <c r="E38" s="614">
        <f>C38*D38*80</f>
        <v>95468.047999999995</v>
      </c>
      <c r="F38" s="614"/>
      <c r="G38" s="614">
        <f t="shared" si="17"/>
        <v>95468.047999999995</v>
      </c>
      <c r="H38" s="771">
        <f>0.17+0.29+0.43+0.29</f>
        <v>1.18</v>
      </c>
      <c r="I38" s="772">
        <f>P20</f>
        <v>2.5000000000000004</v>
      </c>
      <c r="J38" s="768">
        <v>300</v>
      </c>
      <c r="K38" s="547">
        <f>G38+J38</f>
        <v>95768.047999999995</v>
      </c>
      <c r="L38" s="690">
        <v>37009</v>
      </c>
      <c r="M38" s="852">
        <f>40.81*1.01</f>
        <v>41.2181</v>
      </c>
      <c r="N38" s="24">
        <v>1</v>
      </c>
      <c r="P38" s="515"/>
      <c r="Q38" s="513"/>
    </row>
    <row r="39" spans="1:18" ht="18" customHeight="1">
      <c r="A39" s="489" t="s">
        <v>625</v>
      </c>
      <c r="B39" s="492">
        <v>12</v>
      </c>
      <c r="C39" s="614">
        <f>M39+H39+I39</f>
        <v>41.2104</v>
      </c>
      <c r="D39" s="492">
        <v>26</v>
      </c>
      <c r="E39" s="614">
        <f>C39*D39*80</f>
        <v>85717.631999999998</v>
      </c>
      <c r="F39" s="614"/>
      <c r="G39" s="614">
        <f>E39+F39</f>
        <v>85717.631999999998</v>
      </c>
      <c r="H39" s="771">
        <f>0.17+0.29+0.58+1.15+0.43+0.29</f>
        <v>2.91</v>
      </c>
      <c r="I39" s="772">
        <f>P16</f>
        <v>1.9000000000000001</v>
      </c>
      <c r="J39" s="768">
        <v>300</v>
      </c>
      <c r="K39" s="547">
        <f>G39+J39</f>
        <v>86017.631999999998</v>
      </c>
      <c r="L39" s="690">
        <v>38299</v>
      </c>
      <c r="M39" s="852">
        <f>36.04*1.01</f>
        <v>36.400399999999998</v>
      </c>
    </row>
    <row r="40" spans="1:18" ht="18" customHeight="1">
      <c r="A40" s="706" t="s">
        <v>496</v>
      </c>
      <c r="B40" s="492">
        <v>4</v>
      </c>
      <c r="C40" s="614">
        <f>M40+I40</f>
        <v>33.070500000000003</v>
      </c>
      <c r="D40" s="492">
        <v>26</v>
      </c>
      <c r="E40" s="711">
        <f>C40*D40*80</f>
        <v>68786.640000000014</v>
      </c>
      <c r="F40" s="712"/>
      <c r="G40" s="614">
        <f t="shared" si="17"/>
        <v>68786.640000000014</v>
      </c>
      <c r="H40" s="821"/>
      <c r="I40" s="772">
        <f>P8</f>
        <v>0.7</v>
      </c>
      <c r="J40" s="820"/>
      <c r="K40" s="547">
        <f>G40+J40</f>
        <v>68786.640000000014</v>
      </c>
      <c r="L40" s="690">
        <v>41169</v>
      </c>
      <c r="M40" s="614">
        <f>32.05*1.01</f>
        <v>32.3705</v>
      </c>
    </row>
    <row r="41" spans="1:18" ht="18" customHeight="1">
      <c r="A41" s="489" t="s">
        <v>733</v>
      </c>
      <c r="B41" s="492">
        <v>1</v>
      </c>
      <c r="C41" s="614">
        <f>M41+I41</f>
        <v>15</v>
      </c>
      <c r="D41" s="492">
        <v>26</v>
      </c>
      <c r="E41" s="614">
        <f>C41*D41*60</f>
        <v>23400</v>
      </c>
      <c r="F41" s="614"/>
      <c r="G41" s="614">
        <f t="shared" si="17"/>
        <v>23400</v>
      </c>
      <c r="H41" s="821"/>
      <c r="I41" s="830"/>
      <c r="J41" s="820"/>
      <c r="K41" s="547">
        <f t="shared" ref="K41:K45" si="18">G41+H41</f>
        <v>23400</v>
      </c>
      <c r="L41" s="690">
        <v>40911</v>
      </c>
      <c r="M41" s="614">
        <v>15</v>
      </c>
      <c r="N41" s="481"/>
    </row>
    <row r="42" spans="1:18" ht="18" customHeight="1">
      <c r="A42" s="489"/>
      <c r="B42" s="492"/>
      <c r="C42" s="491"/>
      <c r="D42" s="492"/>
      <c r="E42" s="614"/>
      <c r="F42" s="614"/>
      <c r="G42" s="614"/>
      <c r="H42" s="771"/>
      <c r="I42" s="772"/>
      <c r="J42" s="768"/>
      <c r="K42" s="672"/>
      <c r="L42" s="691"/>
      <c r="M42" s="689"/>
      <c r="O42" s="481"/>
      <c r="P42" s="481"/>
    </row>
    <row r="43" spans="1:18" ht="18" hidden="1" customHeight="1">
      <c r="A43" s="489" t="s">
        <v>539</v>
      </c>
      <c r="B43" s="492"/>
      <c r="C43" s="614">
        <f>M43+I43+H43</f>
        <v>0</v>
      </c>
      <c r="D43" s="492">
        <v>26</v>
      </c>
      <c r="E43" s="614">
        <f>C43*40</f>
        <v>0</v>
      </c>
      <c r="F43" s="614"/>
      <c r="G43" s="614">
        <f t="shared" ref="G43" si="19">E43+F43</f>
        <v>0</v>
      </c>
      <c r="H43" s="821"/>
      <c r="I43" s="830"/>
      <c r="J43" s="820"/>
      <c r="K43" s="699">
        <f t="shared" ref="K43" si="20">G43+H43</f>
        <v>0</v>
      </c>
      <c r="L43" s="691"/>
      <c r="M43" s="852"/>
    </row>
    <row r="44" spans="1:18" ht="18" customHeight="1">
      <c r="A44" s="743" t="s">
        <v>469</v>
      </c>
      <c r="B44" s="492"/>
      <c r="C44" s="614">
        <f>M44+I44+H44</f>
        <v>20.694899999999997</v>
      </c>
      <c r="D44" s="492">
        <v>26</v>
      </c>
      <c r="E44" s="614">
        <f>C44*900</f>
        <v>18625.409999999996</v>
      </c>
      <c r="F44" s="614"/>
      <c r="G44" s="614">
        <f t="shared" si="17"/>
        <v>18625.409999999996</v>
      </c>
      <c r="H44" s="821"/>
      <c r="I44" s="830"/>
      <c r="J44" s="820"/>
      <c r="K44" s="525">
        <f t="shared" si="18"/>
        <v>18625.409999999996</v>
      </c>
      <c r="L44" s="691"/>
      <c r="M44" s="852">
        <f>20.49*1.01</f>
        <v>20.694899999999997</v>
      </c>
    </row>
    <row r="45" spans="1:18" ht="18" customHeight="1">
      <c r="A45" s="743" t="s">
        <v>648</v>
      </c>
      <c r="B45" s="492"/>
      <c r="C45" s="614">
        <f>M45+I45+H45</f>
        <v>20.694899999999997</v>
      </c>
      <c r="D45" s="492">
        <v>26</v>
      </c>
      <c r="E45" s="614">
        <f>C45*900</f>
        <v>18625.409999999996</v>
      </c>
      <c r="F45" s="614"/>
      <c r="G45" s="614">
        <f t="shared" si="17"/>
        <v>18625.409999999996</v>
      </c>
      <c r="H45" s="821"/>
      <c r="I45" s="830"/>
      <c r="J45" s="820"/>
      <c r="K45" s="525">
        <f t="shared" si="18"/>
        <v>18625.409999999996</v>
      </c>
      <c r="L45" s="691"/>
      <c r="M45" s="852">
        <f>20.49*1.01</f>
        <v>20.694899999999997</v>
      </c>
    </row>
    <row r="46" spans="1:18" ht="18" customHeight="1">
      <c r="A46" s="489" t="s">
        <v>468</v>
      </c>
      <c r="B46" s="492"/>
      <c r="C46" s="614">
        <f>M46+I46+H46</f>
        <v>20.694899999999997</v>
      </c>
      <c r="D46" s="492">
        <v>26</v>
      </c>
      <c r="E46" s="614">
        <f>C46*D46*20</f>
        <v>10761.347999999998</v>
      </c>
      <c r="F46" s="614"/>
      <c r="G46" s="614">
        <f>E46+F46</f>
        <v>10761.347999999998</v>
      </c>
      <c r="H46" s="821"/>
      <c r="I46" s="831"/>
      <c r="J46" s="832"/>
      <c r="K46" s="525">
        <f>G46+H46</f>
        <v>10761.347999999998</v>
      </c>
      <c r="L46" s="691"/>
      <c r="M46" s="852">
        <f>20.49*1.01</f>
        <v>20.694899999999997</v>
      </c>
    </row>
    <row r="47" spans="1:18" ht="18" customHeight="1">
      <c r="A47" s="489" t="s">
        <v>428</v>
      </c>
      <c r="B47" s="492"/>
      <c r="C47" s="492" t="s">
        <v>427</v>
      </c>
      <c r="D47" s="492"/>
      <c r="E47" s="492"/>
      <c r="F47" s="492"/>
      <c r="G47" s="492"/>
      <c r="H47" s="771"/>
      <c r="I47" s="772"/>
      <c r="J47" s="768"/>
      <c r="K47" s="812">
        <v>70000</v>
      </c>
      <c r="M47" s="271"/>
      <c r="O47" s="481" t="s">
        <v>431</v>
      </c>
      <c r="R47" s="24" t="s">
        <v>433</v>
      </c>
    </row>
    <row r="48" spans="1:18" ht="18" customHeight="1">
      <c r="A48" s="35"/>
      <c r="B48" s="79"/>
      <c r="C48" s="79" t="s">
        <v>67</v>
      </c>
      <c r="D48" s="79"/>
      <c r="E48" s="79"/>
      <c r="F48" s="79"/>
      <c r="G48" s="79"/>
      <c r="H48" s="771"/>
      <c r="I48" s="773"/>
      <c r="J48" s="769"/>
      <c r="K48" s="692">
        <f>SUM(K37:K47)</f>
        <v>542055.0959999999</v>
      </c>
      <c r="M48" s="271"/>
      <c r="P48" s="100"/>
      <c r="Q48" s="100"/>
      <c r="R48" s="100"/>
    </row>
    <row r="49" spans="1:22" ht="18" customHeight="1" thickBot="1">
      <c r="A49" s="502"/>
      <c r="B49" s="503"/>
      <c r="C49" s="503"/>
      <c r="D49" s="503"/>
      <c r="E49" s="503"/>
      <c r="F49" s="503"/>
      <c r="G49" s="503"/>
      <c r="H49" s="930"/>
      <c r="I49" s="774"/>
      <c r="J49" s="770"/>
      <c r="K49" s="710"/>
      <c r="O49" s="100"/>
      <c r="P49" s="700"/>
      <c r="Q49" s="701"/>
      <c r="R49" s="702"/>
      <c r="S49" s="100"/>
      <c r="T49" s="100"/>
      <c r="U49" s="100"/>
    </row>
    <row r="50" spans="1:22" ht="18" customHeight="1" thickBot="1">
      <c r="A50" s="504" t="s">
        <v>68</v>
      </c>
      <c r="B50" s="505">
        <f>AVERAGE(B37:B41)</f>
        <v>8.8000000000000007</v>
      </c>
      <c r="C50" s="775"/>
      <c r="D50" s="777"/>
      <c r="E50" s="775"/>
      <c r="F50" s="775"/>
      <c r="G50" s="775"/>
      <c r="H50" s="931">
        <f>AVERAGE(H37:H39)</f>
        <v>2.0366666666666666</v>
      </c>
      <c r="I50" s="776">
        <f>AVERAGE(I37:I40)</f>
        <v>1.7250000000000003</v>
      </c>
      <c r="J50" s="776">
        <f>SUM(J37:J49)</f>
        <v>900</v>
      </c>
      <c r="K50" s="715">
        <f>K34+K48</f>
        <v>2285521.6970000002</v>
      </c>
      <c r="L50" s="590" t="s">
        <v>432</v>
      </c>
      <c r="M50" s="524"/>
      <c r="P50" s="100"/>
      <c r="Q50" s="100"/>
      <c r="R50" s="100"/>
      <c r="S50" s="703"/>
      <c r="T50" s="702"/>
      <c r="U50" s="704"/>
      <c r="V50" s="705"/>
    </row>
    <row r="51" spans="1:22" ht="15.75" customHeight="1">
      <c r="S51" s="100"/>
      <c r="T51" s="100"/>
      <c r="U51" s="100"/>
    </row>
    <row r="52" spans="1:22" ht="17.25" customHeight="1" thickBot="1">
      <c r="A52" s="65" t="s">
        <v>69</v>
      </c>
      <c r="N52" s="524"/>
      <c r="O52" s="524"/>
    </row>
    <row r="53" spans="1:22">
      <c r="A53" s="548" t="s">
        <v>70</v>
      </c>
      <c r="B53" s="549"/>
      <c r="C53" s="549"/>
      <c r="D53" s="549"/>
      <c r="E53" s="549"/>
      <c r="F53" s="549"/>
      <c r="G53" s="550">
        <f>'641 BENEFITS'!F4</f>
        <v>174842.4098205</v>
      </c>
      <c r="H53" s="481" t="s">
        <v>474</v>
      </c>
    </row>
    <row r="54" spans="1:22">
      <c r="A54" s="551" t="s">
        <v>386</v>
      </c>
      <c r="B54" s="492"/>
      <c r="C54" s="492"/>
      <c r="D54" s="492"/>
      <c r="E54" s="492"/>
      <c r="F54" s="492"/>
      <c r="G54" s="647">
        <f>'641 BENEFITS'!F5</f>
        <v>5250</v>
      </c>
    </row>
    <row r="55" spans="1:22" ht="13.5">
      <c r="A55" s="551" t="s">
        <v>450</v>
      </c>
      <c r="B55" s="492"/>
      <c r="C55" s="492"/>
      <c r="D55" s="492"/>
      <c r="E55" s="492"/>
      <c r="F55" s="492"/>
      <c r="G55" s="647">
        <f>'641 BENEFITS'!F6+'641 BENEFITS'!F8</f>
        <v>394000</v>
      </c>
    </row>
    <row r="56" spans="1:22">
      <c r="A56" s="551" t="s">
        <v>473</v>
      </c>
      <c r="B56" s="492"/>
      <c r="C56" s="492"/>
      <c r="D56" s="492"/>
      <c r="E56" s="492"/>
      <c r="F56" s="492"/>
      <c r="G56" s="647">
        <f>'641 BENEFITS'!F10+'641 BENEFITS'!F11+'641 BENEFITS'!F12</f>
        <v>16600</v>
      </c>
    </row>
    <row r="57" spans="1:22">
      <c r="A57" s="552" t="s">
        <v>383</v>
      </c>
      <c r="B57" s="546"/>
      <c r="C57" s="546"/>
      <c r="D57" s="546"/>
      <c r="E57" s="546"/>
      <c r="F57" s="546"/>
      <c r="G57" s="651">
        <f>'641 BENEFITS'!F9</f>
        <v>12000</v>
      </c>
    </row>
    <row r="58" spans="1:22" ht="13.5">
      <c r="A58" s="553" t="s">
        <v>362</v>
      </c>
      <c r="B58" s="488"/>
      <c r="C58" s="488"/>
      <c r="D58" s="488"/>
      <c r="E58" s="753"/>
      <c r="F58" s="970" t="s">
        <v>471</v>
      </c>
      <c r="G58" s="652">
        <f>K34/100*3.23*0.88*0.8</f>
        <v>39645.035733459197</v>
      </c>
      <c r="I58" s="716">
        <v>3.23</v>
      </c>
      <c r="J58" s="722">
        <v>0.88</v>
      </c>
      <c r="K58" s="718">
        <v>0.8</v>
      </c>
      <c r="L58" s="621">
        <v>2013</v>
      </c>
      <c r="M58" s="526" t="s">
        <v>435</v>
      </c>
      <c r="N58" s="527">
        <v>2012</v>
      </c>
      <c r="O58" s="531" t="s">
        <v>388</v>
      </c>
      <c r="P58" s="532">
        <v>2011</v>
      </c>
      <c r="Q58" s="526" t="s">
        <v>359</v>
      </c>
      <c r="R58" s="537"/>
    </row>
    <row r="59" spans="1:22" ht="13.5">
      <c r="A59" s="551" t="s">
        <v>429</v>
      </c>
      <c r="B59" s="492"/>
      <c r="C59" s="492"/>
      <c r="D59" s="492"/>
      <c r="E59" s="635"/>
      <c r="F59" s="971"/>
      <c r="G59" s="647">
        <f>(K48-K47)/100*0.44*0.88*0.8</f>
        <v>1462.2378653695996</v>
      </c>
      <c r="I59" s="35">
        <v>0.44</v>
      </c>
      <c r="J59" s="79">
        <v>0.88</v>
      </c>
      <c r="K59" s="719">
        <v>0.8</v>
      </c>
      <c r="L59" s="622">
        <v>2013</v>
      </c>
      <c r="M59" s="528" t="s">
        <v>436</v>
      </c>
      <c r="N59" s="529">
        <v>2012</v>
      </c>
      <c r="O59" s="533" t="s">
        <v>389</v>
      </c>
      <c r="P59" s="534">
        <v>2011</v>
      </c>
      <c r="Q59" s="528" t="s">
        <v>360</v>
      </c>
      <c r="R59" s="538"/>
    </row>
    <row r="60" spans="1:22" ht="13.5">
      <c r="A60" s="551" t="s">
        <v>363</v>
      </c>
      <c r="B60" s="492"/>
      <c r="C60" s="492"/>
      <c r="D60" s="492"/>
      <c r="E60" s="635"/>
      <c r="F60" s="971"/>
      <c r="G60" s="814">
        <v>443.52</v>
      </c>
      <c r="I60" s="35">
        <v>5.68</v>
      </c>
      <c r="J60" s="79">
        <v>0.88</v>
      </c>
      <c r="K60" s="720">
        <v>0.8</v>
      </c>
      <c r="L60" s="622">
        <v>2013</v>
      </c>
      <c r="M60" s="528" t="s">
        <v>437</v>
      </c>
      <c r="N60" s="529">
        <v>2012</v>
      </c>
      <c r="O60" s="535" t="s">
        <v>390</v>
      </c>
      <c r="P60" s="536">
        <v>2011</v>
      </c>
      <c r="Q60" s="539" t="s">
        <v>361</v>
      </c>
      <c r="R60" s="540"/>
    </row>
    <row r="61" spans="1:22" ht="13.5">
      <c r="A61" s="552" t="s">
        <v>430</v>
      </c>
      <c r="B61" s="546"/>
      <c r="C61" s="546"/>
      <c r="D61" s="546"/>
      <c r="E61" s="754"/>
      <c r="F61" s="971"/>
      <c r="G61" s="651">
        <f>K47/100*0.43*0.88*0.8</f>
        <v>211.904</v>
      </c>
      <c r="I61" s="35">
        <v>0.43</v>
      </c>
      <c r="J61" s="723">
        <v>0.88</v>
      </c>
      <c r="K61" s="719">
        <v>0.8</v>
      </c>
      <c r="L61" s="622">
        <v>2013</v>
      </c>
      <c r="M61" s="541" t="s">
        <v>438</v>
      </c>
      <c r="N61" s="529">
        <v>2012</v>
      </c>
      <c r="O61" s="100"/>
    </row>
    <row r="62" spans="1:22" ht="14.25" thickBot="1">
      <c r="A62" s="552" t="s">
        <v>434</v>
      </c>
      <c r="B62" s="546"/>
      <c r="C62" s="546"/>
      <c r="D62" s="546"/>
      <c r="E62" s="754"/>
      <c r="F62" s="972"/>
      <c r="G62" s="755">
        <f>3000/100*0.39*0.88*0.8</f>
        <v>8.2368000000000006</v>
      </c>
      <c r="I62" s="717">
        <v>0.39</v>
      </c>
      <c r="J62" s="724">
        <v>0.88</v>
      </c>
      <c r="K62" s="721">
        <v>0.8</v>
      </c>
      <c r="L62" s="623">
        <v>2013</v>
      </c>
      <c r="M62" s="145" t="s">
        <v>439</v>
      </c>
      <c r="N62" s="530">
        <v>2012</v>
      </c>
      <c r="O62" s="100"/>
    </row>
    <row r="63" spans="1:22" ht="13.5">
      <c r="A63" s="638" t="s">
        <v>405</v>
      </c>
      <c r="B63" s="545"/>
      <c r="C63" s="545"/>
      <c r="D63" s="545"/>
      <c r="E63" s="545"/>
      <c r="F63" s="688"/>
      <c r="G63" s="815"/>
      <c r="K63" s="507" t="s">
        <v>470</v>
      </c>
      <c r="L63" s="506"/>
      <c r="M63" s="483"/>
      <c r="N63" s="100"/>
    </row>
    <row r="64" spans="1:22" ht="15.75">
      <c r="A64" s="639" t="s">
        <v>364</v>
      </c>
      <c r="B64" s="496"/>
      <c r="C64" s="496"/>
      <c r="D64" s="496"/>
      <c r="E64" s="496"/>
      <c r="F64" s="496"/>
      <c r="G64" s="653">
        <f>'641 BENEFITS'!F19</f>
        <v>22000</v>
      </c>
      <c r="H64" s="932"/>
    </row>
    <row r="65" spans="1:17">
      <c r="A65" s="551" t="s">
        <v>387</v>
      </c>
      <c r="B65" s="492"/>
      <c r="C65" s="492"/>
      <c r="D65" s="492"/>
      <c r="E65" s="492"/>
      <c r="F65" s="492"/>
      <c r="G65" s="647">
        <f>'641 BENEFITS'!F20+'641 BENEFITS'!F21+'641 BENEFITS'!F22</f>
        <v>10872</v>
      </c>
      <c r="J65" s="636" t="s">
        <v>482</v>
      </c>
      <c r="K65" s="636"/>
      <c r="L65" s="636"/>
      <c r="M65" s="636"/>
      <c r="N65" s="636"/>
      <c r="O65" s="481"/>
    </row>
    <row r="66" spans="1:17">
      <c r="A66" s="551" t="s">
        <v>78</v>
      </c>
      <c r="B66" s="492"/>
      <c r="C66" s="492"/>
      <c r="D66" s="492"/>
      <c r="E66" s="492"/>
      <c r="F66" s="492"/>
      <c r="G66" s="647">
        <f>'641 BENEFITS'!F23</f>
        <v>2000</v>
      </c>
    </row>
    <row r="67" spans="1:17" ht="13.5" thickBot="1">
      <c r="A67" s="554" t="s">
        <v>440</v>
      </c>
      <c r="B67" s="555"/>
      <c r="C67" s="555"/>
      <c r="D67" s="555"/>
      <c r="E67" s="555"/>
      <c r="F67" s="555"/>
      <c r="G67" s="556">
        <f>(K50-K33-K44-K45-K46-K47)*0.1</f>
        <v>214550.95290000003</v>
      </c>
      <c r="H67" s="481" t="s">
        <v>474</v>
      </c>
      <c r="Q67" s="402"/>
    </row>
    <row r="68" spans="1:17" ht="14.25" thickTop="1" thickBot="1">
      <c r="A68" s="508" t="s">
        <v>79</v>
      </c>
      <c r="B68" s="509"/>
      <c r="C68" s="509"/>
      <c r="D68" s="509"/>
      <c r="E68" s="509"/>
      <c r="F68" s="509"/>
      <c r="G68" s="544">
        <f>SUM(G53:G67)</f>
        <v>893886.29711932887</v>
      </c>
    </row>
    <row r="69" spans="1:17" ht="15" thickTop="1" thickBot="1">
      <c r="A69" s="510" t="s">
        <v>80</v>
      </c>
      <c r="B69" s="511"/>
      <c r="C69" s="511"/>
      <c r="D69" s="511"/>
      <c r="E69" s="511"/>
      <c r="F69" s="511"/>
      <c r="G69" s="637">
        <f>K50+G68</f>
        <v>3179407.9941193289</v>
      </c>
    </row>
    <row r="71" spans="1:17">
      <c r="E71" s="512"/>
    </row>
  </sheetData>
  <sortState ref="A23:M29">
    <sortCondition descending="1" ref="B23:B29"/>
  </sortState>
  <mergeCells count="2">
    <mergeCell ref="F58:F62"/>
    <mergeCell ref="P3:R3"/>
  </mergeCells>
  <pageMargins left="0.7" right="0.7" top="0.75" bottom="0.75" header="0.3" footer="0.3"/>
  <pageSetup orientation="landscape" r:id="rId1"/>
  <headerFooter>
    <oddHeader xml:space="preserve">&amp;C&amp;"Arial,Bold"&amp;12PAYROLL - 642&amp;"Arial,Regular"&amp;10
</oddHeader>
    <oddFooter>&amp;L&amp;Z&amp;F, &amp;A&amp;R&amp;D</oddFooter>
  </headerFooter>
  <rowBreaks count="2" manualBreakCount="2">
    <brk id="34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pane ySplit="1" topLeftCell="A2" activePane="bottomLeft" state="frozen"/>
      <selection pane="bottomLeft" activeCell="J1" sqref="J1:J38"/>
    </sheetView>
  </sheetViews>
  <sheetFormatPr defaultRowHeight="12.75"/>
  <cols>
    <col min="1" max="1" width="15.28515625" style="24" customWidth="1"/>
    <col min="2" max="2" width="10.85546875" style="24" customWidth="1"/>
    <col min="3" max="3" width="9.28515625" style="24" customWidth="1"/>
    <col min="4" max="4" width="9.5703125" style="24" customWidth="1"/>
    <col min="5" max="5" width="11" style="24" customWidth="1"/>
    <col min="6" max="6" width="9.42578125" style="24" customWidth="1"/>
    <col min="7" max="7" width="10.28515625" style="24" customWidth="1"/>
    <col min="8" max="8" width="10.5703125" style="24" customWidth="1"/>
    <col min="9" max="9" width="11.140625" style="24" customWidth="1"/>
    <col min="10" max="10" width="11.28515625" style="24" bestFit="1" customWidth="1"/>
    <col min="11" max="11" width="9.140625" style="24"/>
    <col min="12" max="12" width="10.7109375" style="24" bestFit="1" customWidth="1"/>
    <col min="13" max="13" width="11.28515625" style="24" bestFit="1" customWidth="1"/>
    <col min="14" max="16384" width="9.140625" style="24"/>
  </cols>
  <sheetData>
    <row r="1" spans="1:12" s="272" customFormat="1" ht="21" customHeight="1">
      <c r="A1" s="427"/>
      <c r="B1" s="428" t="s">
        <v>248</v>
      </c>
      <c r="C1" s="429" t="s">
        <v>245</v>
      </c>
      <c r="D1" s="429" t="s">
        <v>385</v>
      </c>
      <c r="E1" s="429" t="s">
        <v>249</v>
      </c>
      <c r="F1" s="429" t="s">
        <v>250</v>
      </c>
      <c r="G1" s="429" t="s">
        <v>247</v>
      </c>
      <c r="H1" s="429" t="s">
        <v>413</v>
      </c>
      <c r="I1" s="149" t="s">
        <v>147</v>
      </c>
      <c r="J1" s="977" t="s">
        <v>481</v>
      </c>
    </row>
    <row r="2" spans="1:12" s="272" customFormat="1" ht="21" customHeight="1">
      <c r="A2" s="430" t="s">
        <v>251</v>
      </c>
      <c r="B2" s="431">
        <v>61865</v>
      </c>
      <c r="C2" s="431">
        <f>B2*0.0765</f>
        <v>4732.6724999999997</v>
      </c>
      <c r="D2" s="431">
        <v>119.9</v>
      </c>
      <c r="E2" s="432">
        <f>B2/100*3.33*1.36*0.85</f>
        <v>2381.480802</v>
      </c>
      <c r="F2" s="431">
        <v>1455.67</v>
      </c>
      <c r="G2" s="431">
        <v>8960.0400000000009</v>
      </c>
      <c r="H2" s="431">
        <f>B2*0.095</f>
        <v>5877.1750000000002</v>
      </c>
      <c r="I2" s="152">
        <f>SUM(B2:H2)</f>
        <v>85391.93830200001</v>
      </c>
      <c r="J2" s="977"/>
    </row>
    <row r="3" spans="1:12" ht="18" customHeight="1">
      <c r="A3" s="433" t="s">
        <v>251</v>
      </c>
      <c r="B3" s="432">
        <v>61268</v>
      </c>
      <c r="C3" s="432">
        <f>B3*0.0765</f>
        <v>4687.0019999999995</v>
      </c>
      <c r="D3" s="432">
        <v>119.9</v>
      </c>
      <c r="E3" s="432">
        <f t="shared" ref="E3:E20" si="0">B3/100*3.33*1.36*0.85</f>
        <v>2358.4994063999998</v>
      </c>
      <c r="F3" s="432">
        <v>1455.67</v>
      </c>
      <c r="G3" s="432">
        <v>8960.0400000000009</v>
      </c>
      <c r="H3" s="432">
        <f t="shared" ref="H3:H25" si="1">B3*0.095</f>
        <v>5820.46</v>
      </c>
      <c r="I3" s="150">
        <f t="shared" ref="I3:I8" si="2">SUM(B3:H3)</f>
        <v>84669.571406399991</v>
      </c>
      <c r="J3" s="977"/>
    </row>
    <row r="4" spans="1:12" ht="18" customHeight="1">
      <c r="A4" s="441" t="s">
        <v>251</v>
      </c>
      <c r="B4" s="442">
        <v>61269</v>
      </c>
      <c r="C4" s="442">
        <f>B4*0.0765</f>
        <v>4687.0784999999996</v>
      </c>
      <c r="D4" s="442">
        <v>119.9</v>
      </c>
      <c r="E4" s="442">
        <f t="shared" si="0"/>
        <v>2358.5379012000003</v>
      </c>
      <c r="F4" s="442">
        <v>1455.67</v>
      </c>
      <c r="G4" s="442">
        <v>8960.0400000000009</v>
      </c>
      <c r="H4" s="442">
        <f t="shared" si="1"/>
        <v>5820.5550000000003</v>
      </c>
      <c r="I4" s="423">
        <f>SUM(B4:H4)</f>
        <v>84670.781401199987</v>
      </c>
      <c r="J4" s="977"/>
    </row>
    <row r="5" spans="1:12" ht="18" customHeight="1">
      <c r="A5" s="452" t="s">
        <v>252</v>
      </c>
      <c r="B5" s="431">
        <v>52203</v>
      </c>
      <c r="C5" s="431">
        <f>B5*0.0765</f>
        <v>3993.5295000000001</v>
      </c>
      <c r="D5" s="431">
        <v>119.9</v>
      </c>
      <c r="E5" s="431">
        <f>B5/100*3.33*1.36*0.85</f>
        <v>2009.5440444000001</v>
      </c>
      <c r="F5" s="431">
        <v>1455.67</v>
      </c>
      <c r="G5" s="431">
        <v>4777.76</v>
      </c>
      <c r="H5" s="431">
        <f>B5*0.095</f>
        <v>4959.2849999999999</v>
      </c>
      <c r="I5" s="475">
        <f>SUM(B5:H5)</f>
        <v>69518.688544399993</v>
      </c>
      <c r="J5" s="977"/>
    </row>
    <row r="6" spans="1:12" ht="18" customHeight="1">
      <c r="A6" s="453" t="s">
        <v>252</v>
      </c>
      <c r="B6" s="432">
        <v>52504.3</v>
      </c>
      <c r="C6" s="432">
        <f t="shared" ref="C6:C35" si="3">B6*0.0765</f>
        <v>4016.5789500000001</v>
      </c>
      <c r="D6" s="432">
        <v>119.9</v>
      </c>
      <c r="E6" s="432">
        <f t="shared" si="0"/>
        <v>2021.1425276400003</v>
      </c>
      <c r="F6" s="432">
        <v>1455.67</v>
      </c>
      <c r="G6" s="432">
        <v>8960.0400000000009</v>
      </c>
      <c r="H6" s="432">
        <f t="shared" si="1"/>
        <v>4987.9085000000005</v>
      </c>
      <c r="I6" s="150">
        <f t="shared" si="2"/>
        <v>74065.539977640015</v>
      </c>
      <c r="J6" s="977"/>
    </row>
    <row r="7" spans="1:12" ht="18" customHeight="1">
      <c r="A7" s="454" t="s">
        <v>252</v>
      </c>
      <c r="B7" s="435">
        <v>51304.3</v>
      </c>
      <c r="C7" s="435">
        <f>B7*0.0765</f>
        <v>3924.7789500000003</v>
      </c>
      <c r="D7" s="435">
        <v>119.9</v>
      </c>
      <c r="E7" s="435">
        <f>B7/100*3.33*1.36*0.85</f>
        <v>1974.9487676400001</v>
      </c>
      <c r="F7" s="435">
        <v>1455.67</v>
      </c>
      <c r="G7" s="435">
        <v>4777.76</v>
      </c>
      <c r="H7" s="435">
        <f>B7*0.095</f>
        <v>4873.9085000000005</v>
      </c>
      <c r="I7" s="473">
        <f>SUM(B7:H7)</f>
        <v>68431.266217640004</v>
      </c>
      <c r="J7" s="977"/>
      <c r="L7" s="271"/>
    </row>
    <row r="8" spans="1:12" s="100" customFormat="1" ht="18" customHeight="1">
      <c r="A8" s="471" t="s">
        <v>417</v>
      </c>
      <c r="B8" s="459">
        <v>55456.37</v>
      </c>
      <c r="C8" s="459">
        <f t="shared" si="3"/>
        <v>4242.4123049999998</v>
      </c>
      <c r="D8" s="459">
        <v>119.9</v>
      </c>
      <c r="E8" s="470">
        <f t="shared" si="0"/>
        <v>2134.7818718760004</v>
      </c>
      <c r="F8" s="456">
        <v>1455.67</v>
      </c>
      <c r="G8" s="459">
        <v>4777.76</v>
      </c>
      <c r="H8" s="456">
        <f t="shared" si="1"/>
        <v>5268.3551500000003</v>
      </c>
      <c r="I8" s="474">
        <f t="shared" si="2"/>
        <v>73455.249326876001</v>
      </c>
      <c r="J8" s="977"/>
    </row>
    <row r="9" spans="1:12" ht="18" customHeight="1">
      <c r="A9" s="452" t="s">
        <v>253</v>
      </c>
      <c r="B9" s="431">
        <v>48731.7</v>
      </c>
      <c r="C9" s="431">
        <f>B9*0.0765</f>
        <v>3727.9750499999996</v>
      </c>
      <c r="D9" s="431">
        <v>119.9</v>
      </c>
      <c r="E9" s="431">
        <f>B9/100*3.33*1.36*0.85</f>
        <v>1875.91704516</v>
      </c>
      <c r="F9" s="431">
        <v>1455.67</v>
      </c>
      <c r="G9" s="431">
        <v>4776.76</v>
      </c>
      <c r="H9" s="431">
        <f>B9*0.095</f>
        <v>4629.5114999999996</v>
      </c>
      <c r="I9" s="475">
        <f>SUM(B9:H9)</f>
        <v>65317.433595160001</v>
      </c>
      <c r="J9" s="977"/>
    </row>
    <row r="10" spans="1:12" ht="18" customHeight="1">
      <c r="A10" s="453" t="s">
        <v>253</v>
      </c>
      <c r="B10" s="432">
        <v>49693.7</v>
      </c>
      <c r="C10" s="432">
        <f t="shared" ref="C10:C17" si="4">B10*0.0765</f>
        <v>3801.5680499999999</v>
      </c>
      <c r="D10" s="432">
        <v>119.9</v>
      </c>
      <c r="E10" s="432">
        <f t="shared" si="0"/>
        <v>1912.9490427599999</v>
      </c>
      <c r="F10" s="432">
        <v>1455.67</v>
      </c>
      <c r="G10" s="432">
        <v>4777.76</v>
      </c>
      <c r="H10" s="432">
        <f t="shared" si="1"/>
        <v>4720.9014999999999</v>
      </c>
      <c r="I10" s="476">
        <f t="shared" ref="I10:I27" si="5">SUM(B10:H10)</f>
        <v>66482.448592760004</v>
      </c>
      <c r="J10" s="977"/>
    </row>
    <row r="11" spans="1:12" ht="18" customHeight="1">
      <c r="A11" s="453" t="s">
        <v>253</v>
      </c>
      <c r="B11" s="432">
        <v>49093.7</v>
      </c>
      <c r="C11" s="432">
        <f>B11*0.0765</f>
        <v>3755.6680499999998</v>
      </c>
      <c r="D11" s="432">
        <v>119.9</v>
      </c>
      <c r="E11" s="432">
        <f>B11/100*3.33*1.36*0.85</f>
        <v>1889.8521627600001</v>
      </c>
      <c r="F11" s="432">
        <v>1455.67</v>
      </c>
      <c r="G11" s="432">
        <v>8960.0400000000009</v>
      </c>
      <c r="H11" s="432">
        <f>B11*0.095</f>
        <v>4663.9014999999999</v>
      </c>
      <c r="I11" s="150">
        <f>SUM(B11:H11)</f>
        <v>69938.731712759996</v>
      </c>
      <c r="J11" s="977"/>
    </row>
    <row r="12" spans="1:12" ht="18" customHeight="1">
      <c r="A12" s="453" t="s">
        <v>253</v>
      </c>
      <c r="B12" s="432">
        <v>48135.7</v>
      </c>
      <c r="C12" s="432">
        <f t="shared" si="4"/>
        <v>3682.3810499999995</v>
      </c>
      <c r="D12" s="432">
        <v>119.9</v>
      </c>
      <c r="E12" s="432">
        <f t="shared" si="0"/>
        <v>1852.9741443599999</v>
      </c>
      <c r="F12" s="432">
        <v>1455.67</v>
      </c>
      <c r="G12" s="432">
        <v>4777.76</v>
      </c>
      <c r="H12" s="432">
        <f t="shared" si="1"/>
        <v>4572.8914999999997</v>
      </c>
      <c r="I12" s="476">
        <f t="shared" si="5"/>
        <v>64597.276694359993</v>
      </c>
      <c r="J12" s="977"/>
    </row>
    <row r="13" spans="1:12" ht="18" customHeight="1">
      <c r="A13" s="453" t="s">
        <v>253</v>
      </c>
      <c r="B13" s="432">
        <v>46636.7</v>
      </c>
      <c r="C13" s="432">
        <f>B13*0.0765</f>
        <v>3567.7075499999996</v>
      </c>
      <c r="D13" s="432">
        <v>119.9</v>
      </c>
      <c r="E13" s="432">
        <f>B13/100*3.33*1.36*0.85</f>
        <v>1795.2704391599998</v>
      </c>
      <c r="F13" s="432">
        <v>1455.67</v>
      </c>
      <c r="G13" s="432">
        <v>7301.36</v>
      </c>
      <c r="H13" s="432">
        <f>B13*0.095</f>
        <v>4430.4865</v>
      </c>
      <c r="I13" s="476">
        <f>SUM(B13:H13)</f>
        <v>65307.094489159994</v>
      </c>
      <c r="J13" s="977"/>
    </row>
    <row r="14" spans="1:12" ht="18" customHeight="1">
      <c r="A14" s="454" t="s">
        <v>253</v>
      </c>
      <c r="B14" s="435">
        <v>49636.7</v>
      </c>
      <c r="C14" s="435">
        <f>B14*0.0765</f>
        <v>3797.2075499999996</v>
      </c>
      <c r="D14" s="435">
        <v>119.9</v>
      </c>
      <c r="E14" s="435">
        <f>B14/100*3.33*1.36*0.85</f>
        <v>1910.7548391600003</v>
      </c>
      <c r="F14" s="435">
        <v>1455.67</v>
      </c>
      <c r="G14" s="435">
        <v>4777.76</v>
      </c>
      <c r="H14" s="435">
        <f>B14*0.095</f>
        <v>4715.4865</v>
      </c>
      <c r="I14" s="473">
        <f>SUM(B14:H14)</f>
        <v>66413.478889160004</v>
      </c>
      <c r="J14" s="977"/>
    </row>
    <row r="15" spans="1:12" ht="18" customHeight="1">
      <c r="A15" s="452" t="s">
        <v>254</v>
      </c>
      <c r="B15" s="431">
        <v>42269.3</v>
      </c>
      <c r="C15" s="431">
        <f>B15*0.0765</f>
        <v>3233.6014500000001</v>
      </c>
      <c r="D15" s="431">
        <v>119.9</v>
      </c>
      <c r="E15" s="431">
        <f>B15/100*3.33*1.36*0.85</f>
        <v>1627.1482496400001</v>
      </c>
      <c r="F15" s="431">
        <v>1455.67</v>
      </c>
      <c r="G15" s="431">
        <v>8960.0400000000009</v>
      </c>
      <c r="H15" s="431">
        <f>B15*0.095</f>
        <v>4015.5835000000002</v>
      </c>
      <c r="I15" s="475">
        <f>SUM(B15:H15)</f>
        <v>61681.243199640005</v>
      </c>
      <c r="J15" s="977"/>
    </row>
    <row r="16" spans="1:12" ht="18" customHeight="1">
      <c r="A16" s="433" t="s">
        <v>254</v>
      </c>
      <c r="B16" s="432">
        <v>42631.3</v>
      </c>
      <c r="C16" s="432">
        <f t="shared" si="4"/>
        <v>3261.2944500000003</v>
      </c>
      <c r="D16" s="432">
        <v>119.9</v>
      </c>
      <c r="E16" s="432">
        <f t="shared" si="0"/>
        <v>1641.0833672400004</v>
      </c>
      <c r="F16" s="432">
        <v>1455.67</v>
      </c>
      <c r="G16" s="432">
        <v>4777.76</v>
      </c>
      <c r="H16" s="432">
        <f t="shared" si="1"/>
        <v>4049.9735000000005</v>
      </c>
      <c r="I16" s="150">
        <f t="shared" si="5"/>
        <v>57936.981317240003</v>
      </c>
      <c r="J16" s="977"/>
    </row>
    <row r="17" spans="1:13" ht="18" customHeight="1">
      <c r="A17" s="433" t="s">
        <v>254</v>
      </c>
      <c r="B17" s="432">
        <v>43831.3</v>
      </c>
      <c r="C17" s="432">
        <f t="shared" si="4"/>
        <v>3353.0944500000001</v>
      </c>
      <c r="D17" s="432">
        <v>119.9</v>
      </c>
      <c r="E17" s="432">
        <f t="shared" si="0"/>
        <v>1687.2771272400003</v>
      </c>
      <c r="F17" s="432">
        <v>1455.67</v>
      </c>
      <c r="G17" s="432">
        <v>8960.0400000000009</v>
      </c>
      <c r="H17" s="432">
        <f t="shared" si="1"/>
        <v>4163.9735000000001</v>
      </c>
      <c r="I17" s="150">
        <f t="shared" si="5"/>
        <v>63571.255077239999</v>
      </c>
      <c r="J17" s="977"/>
    </row>
    <row r="18" spans="1:13" ht="18" customHeight="1">
      <c r="A18" s="433" t="s">
        <v>254</v>
      </c>
      <c r="B18" s="432">
        <v>42631.3</v>
      </c>
      <c r="C18" s="432">
        <f t="shared" ref="C18:C20" si="6">B18*0.0765</f>
        <v>3261.2944500000003</v>
      </c>
      <c r="D18" s="432">
        <v>119.9</v>
      </c>
      <c r="E18" s="432">
        <f t="shared" si="0"/>
        <v>1641.0833672400004</v>
      </c>
      <c r="F18" s="432">
        <v>1455.67</v>
      </c>
      <c r="G18" s="432">
        <v>6983.72</v>
      </c>
      <c r="H18" s="432">
        <f t="shared" si="1"/>
        <v>4049.9735000000005</v>
      </c>
      <c r="I18" s="150">
        <f t="shared" ref="I18:I20" si="7">SUM(B18:H18)</f>
        <v>60142.941317240002</v>
      </c>
      <c r="J18" s="977"/>
    </row>
    <row r="19" spans="1:13" ht="18" customHeight="1">
      <c r="A19" s="433" t="s">
        <v>254</v>
      </c>
      <c r="B19" s="432">
        <v>42631.3</v>
      </c>
      <c r="C19" s="432">
        <f t="shared" si="6"/>
        <v>3261.2944500000003</v>
      </c>
      <c r="D19" s="432">
        <v>119.9</v>
      </c>
      <c r="E19" s="432">
        <f t="shared" si="0"/>
        <v>1641.0833672400004</v>
      </c>
      <c r="F19" s="432">
        <v>1455.67</v>
      </c>
      <c r="G19" s="432">
        <v>8960.0400000000009</v>
      </c>
      <c r="H19" s="432">
        <f t="shared" si="1"/>
        <v>4049.9735000000005</v>
      </c>
      <c r="I19" s="150">
        <f t="shared" si="7"/>
        <v>62119.261317240002</v>
      </c>
      <c r="J19" s="977"/>
    </row>
    <row r="20" spans="1:13" ht="18" customHeight="1">
      <c r="A20" s="433" t="s">
        <v>254</v>
      </c>
      <c r="B20" s="432">
        <v>41671.300000000003</v>
      </c>
      <c r="C20" s="432">
        <f t="shared" si="6"/>
        <v>3187.8544500000003</v>
      </c>
      <c r="D20" s="432">
        <v>119.9</v>
      </c>
      <c r="E20" s="432">
        <f t="shared" si="0"/>
        <v>1604.1283592400002</v>
      </c>
      <c r="F20" s="432">
        <v>1455.67</v>
      </c>
      <c r="G20" s="432">
        <v>4777.76</v>
      </c>
      <c r="H20" s="432">
        <f t="shared" si="1"/>
        <v>3958.7735000000002</v>
      </c>
      <c r="I20" s="150">
        <f t="shared" si="7"/>
        <v>56775.386309240006</v>
      </c>
      <c r="J20" s="977"/>
    </row>
    <row r="21" spans="1:13" ht="18" customHeight="1">
      <c r="A21" s="433" t="s">
        <v>418</v>
      </c>
      <c r="B21" s="432">
        <v>250096.8</v>
      </c>
      <c r="C21" s="432">
        <f t="shared" ref="C21:C22" si="8">B21*0.0765</f>
        <v>19132.405199999997</v>
      </c>
      <c r="D21" s="432">
        <v>720</v>
      </c>
      <c r="E21" s="432">
        <f t="shared" ref="E21:E26" si="9">B21/100*3.33*1.36*0.85</f>
        <v>9627.4262966400001</v>
      </c>
      <c r="F21" s="432">
        <v>8734.02</v>
      </c>
      <c r="G21" s="432">
        <v>31503.8</v>
      </c>
      <c r="H21" s="432">
        <f t="shared" si="1"/>
        <v>23759.196</v>
      </c>
      <c r="I21" s="150">
        <f t="shared" ref="I21:I22" si="10">SUM(B21:H21)</f>
        <v>343573.64749663998</v>
      </c>
      <c r="J21" s="977"/>
    </row>
    <row r="22" spans="1:13" ht="18" customHeight="1">
      <c r="A22" s="433" t="s">
        <v>419</v>
      </c>
      <c r="B22" s="432">
        <v>80054.179999999993</v>
      </c>
      <c r="C22" s="432">
        <f t="shared" si="8"/>
        <v>6124.144769999999</v>
      </c>
      <c r="D22" s="432">
        <v>240</v>
      </c>
      <c r="E22" s="432">
        <f t="shared" si="9"/>
        <v>3081.669648264</v>
      </c>
      <c r="F22" s="432">
        <v>2911.3420000000001</v>
      </c>
      <c r="G22" s="432">
        <v>9555.52</v>
      </c>
      <c r="H22" s="432">
        <f t="shared" si="1"/>
        <v>7605.1470999999992</v>
      </c>
      <c r="I22" s="150">
        <f t="shared" si="10"/>
        <v>109572.003518264</v>
      </c>
      <c r="J22" s="977"/>
    </row>
    <row r="23" spans="1:13" ht="18" customHeight="1">
      <c r="A23" s="441" t="s">
        <v>407</v>
      </c>
      <c r="B23" s="442">
        <v>39372.449999999997</v>
      </c>
      <c r="C23" s="442">
        <f>B23*0.0765</f>
        <v>3011.9924249999999</v>
      </c>
      <c r="D23" s="442">
        <v>120</v>
      </c>
      <c r="E23" s="442">
        <f t="shared" si="9"/>
        <v>1515.6345882599999</v>
      </c>
      <c r="F23" s="432">
        <v>1455.67</v>
      </c>
      <c r="G23" s="442">
        <v>4777.76</v>
      </c>
      <c r="H23" s="432">
        <f t="shared" si="1"/>
        <v>3740.3827499999998</v>
      </c>
      <c r="I23" s="423">
        <f>SUM(B23:H23)</f>
        <v>53993.889763259991</v>
      </c>
      <c r="J23" s="977"/>
      <c r="L23" s="424"/>
    </row>
    <row r="24" spans="1:13" ht="17.25" customHeight="1">
      <c r="A24" s="436" t="s">
        <v>82</v>
      </c>
      <c r="B24" s="431">
        <v>65220</v>
      </c>
      <c r="C24" s="431">
        <f t="shared" si="3"/>
        <v>4989.33</v>
      </c>
      <c r="D24" s="437"/>
      <c r="E24" s="431">
        <f t="shared" si="9"/>
        <v>2510.6308560000002</v>
      </c>
      <c r="F24" s="437"/>
      <c r="G24" s="437"/>
      <c r="H24" s="431">
        <f t="shared" si="1"/>
        <v>6195.9</v>
      </c>
      <c r="I24" s="152">
        <f t="shared" si="5"/>
        <v>78915.860855999999</v>
      </c>
      <c r="J24" s="977"/>
    </row>
    <row r="25" spans="1:13" ht="18" customHeight="1">
      <c r="A25" s="438" t="s">
        <v>172</v>
      </c>
      <c r="B25" s="432">
        <v>11869</v>
      </c>
      <c r="C25" s="432">
        <f t="shared" si="3"/>
        <v>907.97849999999994</v>
      </c>
      <c r="D25" s="439"/>
      <c r="E25" s="432">
        <f t="shared" si="9"/>
        <v>456.89478120000001</v>
      </c>
      <c r="F25" s="439"/>
      <c r="G25" s="439"/>
      <c r="H25" s="432">
        <f t="shared" si="1"/>
        <v>1127.5550000000001</v>
      </c>
      <c r="I25" s="150">
        <f t="shared" si="5"/>
        <v>14361.4282812</v>
      </c>
      <c r="J25" s="977"/>
      <c r="L25" s="424"/>
    </row>
    <row r="26" spans="1:13" ht="18" customHeight="1">
      <c r="A26" s="438" t="s">
        <v>414</v>
      </c>
      <c r="B26" s="432">
        <v>16124</v>
      </c>
      <c r="C26" s="432">
        <f t="shared" si="3"/>
        <v>1233.4859999999999</v>
      </c>
      <c r="D26" s="432">
        <v>492</v>
      </c>
      <c r="E26" s="432">
        <f t="shared" si="9"/>
        <v>620.69015520000005</v>
      </c>
      <c r="F26" s="432">
        <v>650.21119999999996</v>
      </c>
      <c r="G26" s="439"/>
      <c r="H26" s="439"/>
      <c r="I26" s="150">
        <f t="shared" si="5"/>
        <v>19120.387355200004</v>
      </c>
      <c r="J26" s="977"/>
      <c r="M26" s="424"/>
    </row>
    <row r="27" spans="1:13" ht="18" customHeight="1">
      <c r="A27" s="455" t="s">
        <v>412</v>
      </c>
      <c r="B27" s="457"/>
      <c r="C27" s="457"/>
      <c r="D27" s="457"/>
      <c r="E27" s="456">
        <v>965.41</v>
      </c>
      <c r="F27" s="456">
        <v>405.59</v>
      </c>
      <c r="G27" s="457"/>
      <c r="H27" s="472"/>
      <c r="I27" s="150">
        <f t="shared" si="5"/>
        <v>1371</v>
      </c>
      <c r="J27" s="977"/>
      <c r="M27" s="424"/>
    </row>
    <row r="28" spans="1:13" ht="18" customHeight="1">
      <c r="A28" s="430" t="s">
        <v>255</v>
      </c>
      <c r="B28" s="431">
        <v>86707.199999999997</v>
      </c>
      <c r="C28" s="431">
        <f t="shared" si="3"/>
        <v>6633.1007999999993</v>
      </c>
      <c r="D28" s="431">
        <v>120</v>
      </c>
      <c r="E28" s="431">
        <f t="shared" ref="E28:E34" si="11">B28/100*0.44*1.36*0.85</f>
        <v>441.02750207999998</v>
      </c>
      <c r="F28" s="431">
        <v>1455.671</v>
      </c>
      <c r="G28" s="431">
        <v>8960.0400000000009</v>
      </c>
      <c r="H28" s="431">
        <f t="shared" ref="H28:H31" si="12">B28*0.095</f>
        <v>8237.1839999999993</v>
      </c>
      <c r="I28" s="152">
        <f t="shared" ref="I28:I33" si="13">SUM(B28:H28)</f>
        <v>112554.22330207999</v>
      </c>
      <c r="J28" s="977"/>
    </row>
    <row r="29" spans="1:13" ht="18" customHeight="1">
      <c r="A29" s="433" t="s">
        <v>342</v>
      </c>
      <c r="B29" s="432">
        <v>69769.600000000006</v>
      </c>
      <c r="C29" s="432">
        <f t="shared" ref="C29" si="14">B29*0.0765</f>
        <v>5337.3744000000006</v>
      </c>
      <c r="D29" s="432">
        <v>120</v>
      </c>
      <c r="E29" s="432">
        <f t="shared" si="11"/>
        <v>354.87609344000003</v>
      </c>
      <c r="F29" s="432">
        <v>1455.671</v>
      </c>
      <c r="G29" s="432">
        <v>8960.0400000000009</v>
      </c>
      <c r="H29" s="432">
        <f t="shared" si="12"/>
        <v>6628.112000000001</v>
      </c>
      <c r="I29" s="150">
        <f t="shared" ref="I29" si="15">SUM(B29:H29)</f>
        <v>92625.673493440001</v>
      </c>
      <c r="J29" s="977"/>
      <c r="M29" s="424"/>
    </row>
    <row r="30" spans="1:13" ht="18" customHeight="1">
      <c r="A30" s="433" t="s">
        <v>256</v>
      </c>
      <c r="B30" s="432">
        <v>49276</v>
      </c>
      <c r="C30" s="432">
        <f t="shared" si="3"/>
        <v>3769.614</v>
      </c>
      <c r="D30" s="432">
        <v>120</v>
      </c>
      <c r="E30" s="432">
        <f t="shared" si="11"/>
        <v>250.63744640000002</v>
      </c>
      <c r="F30" s="432">
        <v>1118.961</v>
      </c>
      <c r="G30" s="432">
        <v>4777.76</v>
      </c>
      <c r="H30" s="432">
        <f t="shared" si="12"/>
        <v>4681.22</v>
      </c>
      <c r="I30" s="150">
        <f t="shared" si="13"/>
        <v>63994.192446400004</v>
      </c>
      <c r="J30" s="977"/>
    </row>
    <row r="31" spans="1:13" ht="18" customHeight="1">
      <c r="A31" s="434" t="s">
        <v>246</v>
      </c>
      <c r="B31" s="435">
        <v>37107</v>
      </c>
      <c r="C31" s="435">
        <f t="shared" si="3"/>
        <v>2838.6855</v>
      </c>
      <c r="D31" s="435">
        <v>119.9</v>
      </c>
      <c r="E31" s="435">
        <f t="shared" si="11"/>
        <v>188.7410448</v>
      </c>
      <c r="F31" s="435">
        <v>1455.671</v>
      </c>
      <c r="G31" s="435">
        <v>4777.76</v>
      </c>
      <c r="H31" s="435">
        <f t="shared" si="12"/>
        <v>3525.165</v>
      </c>
      <c r="I31" s="151">
        <f t="shared" si="13"/>
        <v>50012.922544800007</v>
      </c>
      <c r="J31" s="977"/>
    </row>
    <row r="32" spans="1:13" ht="18" customHeight="1">
      <c r="A32" s="430" t="s">
        <v>410</v>
      </c>
      <c r="B32" s="431">
        <v>7721</v>
      </c>
      <c r="C32" s="431">
        <f t="shared" ref="C32" si="16">B32*0.0765</f>
        <v>590.65649999999994</v>
      </c>
      <c r="D32" s="431">
        <v>60</v>
      </c>
      <c r="E32" s="431">
        <f t="shared" si="11"/>
        <v>39.272094400000007</v>
      </c>
      <c r="F32" s="431">
        <v>650.21119999999996</v>
      </c>
      <c r="G32" s="437"/>
      <c r="H32" s="437"/>
      <c r="I32" s="152">
        <f t="shared" ref="I32" si="17">SUM(B32:H32)</f>
        <v>9061.1397943999982</v>
      </c>
      <c r="J32" s="977"/>
    </row>
    <row r="33" spans="1:12" ht="18" customHeight="1">
      <c r="A33" s="433" t="s">
        <v>409</v>
      </c>
      <c r="B33" s="432">
        <v>3469</v>
      </c>
      <c r="C33" s="432">
        <f t="shared" si="3"/>
        <v>265.37849999999997</v>
      </c>
      <c r="D33" s="432">
        <v>50</v>
      </c>
      <c r="E33" s="432">
        <f t="shared" si="11"/>
        <v>17.6447216</v>
      </c>
      <c r="F33" s="432">
        <v>650.21119999999996</v>
      </c>
      <c r="G33" s="439"/>
      <c r="H33" s="439"/>
      <c r="I33" s="150">
        <f t="shared" si="13"/>
        <v>4452.2344216000001</v>
      </c>
      <c r="J33" s="977"/>
    </row>
    <row r="34" spans="1:12" ht="18" customHeight="1">
      <c r="A34" s="433" t="s">
        <v>408</v>
      </c>
      <c r="B34" s="432">
        <v>17372</v>
      </c>
      <c r="C34" s="432">
        <f>B34*0.0765</f>
        <v>1328.9580000000001</v>
      </c>
      <c r="D34" s="432">
        <v>70</v>
      </c>
      <c r="E34" s="432">
        <f t="shared" si="11"/>
        <v>88.360940800000009</v>
      </c>
      <c r="F34" s="432">
        <v>650.21119999999996</v>
      </c>
      <c r="G34" s="439"/>
      <c r="H34" s="439"/>
      <c r="I34" s="150">
        <f>SUM(B34:H34)</f>
        <v>19509.530140800001</v>
      </c>
      <c r="J34" s="977"/>
    </row>
    <row r="35" spans="1:12" ht="15.75" customHeight="1">
      <c r="A35" s="480" t="s">
        <v>415</v>
      </c>
      <c r="B35" s="431">
        <v>-3856.11</v>
      </c>
      <c r="C35" s="431">
        <f t="shared" si="3"/>
        <v>-294.99241499999999</v>
      </c>
      <c r="D35" s="431"/>
      <c r="E35" s="431">
        <v>-148.66</v>
      </c>
      <c r="F35" s="431"/>
      <c r="G35" s="458">
        <v>1233.76</v>
      </c>
      <c r="H35" s="431">
        <v>-366.36</v>
      </c>
      <c r="I35" s="152">
        <f>SUM(B35:H35)</f>
        <v>-3432.3624150000001</v>
      </c>
      <c r="J35" s="977"/>
      <c r="L35" s="424"/>
    </row>
    <row r="36" spans="1:12" ht="16.5" customHeight="1">
      <c r="A36" s="479" t="s">
        <v>411</v>
      </c>
      <c r="B36" s="459"/>
      <c r="C36" s="459"/>
      <c r="D36" s="459"/>
      <c r="E36" s="459">
        <v>-8383</v>
      </c>
      <c r="F36" s="459"/>
      <c r="G36" s="460">
        <v>-14771.84</v>
      </c>
      <c r="H36" s="460"/>
      <c r="I36" s="151">
        <f>SUM(B36:H36)</f>
        <v>-23154.84</v>
      </c>
      <c r="J36" s="977"/>
    </row>
    <row r="37" spans="1:12" ht="18" customHeight="1" thickBot="1">
      <c r="A37" s="440"/>
      <c r="B37" s="478">
        <f>SUM(B2:B36)</f>
        <v>1673766.0899999999</v>
      </c>
      <c r="C37" s="477">
        <f t="shared" ref="C37:H37" si="18">SUM(C2:C36)</f>
        <v>128043.105885</v>
      </c>
      <c r="D37" s="477">
        <f t="shared" si="18"/>
        <v>4510</v>
      </c>
      <c r="E37" s="478">
        <f t="shared" si="18"/>
        <v>47945.713001439981</v>
      </c>
      <c r="F37" s="477">
        <f t="shared" si="18"/>
        <v>49251.170799999978</v>
      </c>
      <c r="G37" s="477">
        <f t="shared" si="18"/>
        <v>188738.84000000005</v>
      </c>
      <c r="H37" s="478">
        <f t="shared" si="18"/>
        <v>154762.57900000003</v>
      </c>
      <c r="I37" s="477">
        <f>SUM(I2:I36)</f>
        <v>2247017.4986864403</v>
      </c>
      <c r="J37" s="977"/>
    </row>
    <row r="38" spans="1:12" ht="14.25" customHeight="1" thickTop="1">
      <c r="A38" s="283" t="s">
        <v>420</v>
      </c>
      <c r="B38" s="283"/>
      <c r="C38" s="974">
        <f>SUM(C37:H37)</f>
        <v>573251.40868644009</v>
      </c>
      <c r="D38" s="975"/>
      <c r="E38" s="975"/>
      <c r="F38" s="975"/>
      <c r="G38" s="975"/>
      <c r="H38" s="976"/>
      <c r="I38" s="283"/>
      <c r="J38" s="977"/>
    </row>
    <row r="39" spans="1:12" ht="13.5" customHeight="1">
      <c r="A39" s="22" t="s">
        <v>406</v>
      </c>
      <c r="B39" s="100"/>
      <c r="C39" s="100"/>
      <c r="D39" s="100"/>
      <c r="E39" s="100"/>
      <c r="F39" s="100"/>
      <c r="G39" s="100"/>
      <c r="H39" s="100"/>
    </row>
  </sheetData>
  <mergeCells count="2">
    <mergeCell ref="C38:H38"/>
    <mergeCell ref="J1:J38"/>
  </mergeCells>
  <phoneticPr fontId="19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D2"/>
    </sheetView>
  </sheetViews>
  <sheetFormatPr defaultRowHeight="12.75"/>
  <cols>
    <col min="1" max="1" width="6.28515625" customWidth="1"/>
    <col min="2" max="3" width="11.28515625" customWidth="1"/>
    <col min="4" max="4" width="11.28515625" style="422" customWidth="1"/>
    <col min="5" max="7" width="14" customWidth="1"/>
    <col min="8" max="8" width="11.42578125" customWidth="1"/>
    <col min="9" max="9" width="10.28515625" bestFit="1" customWidth="1"/>
  </cols>
  <sheetData>
    <row r="1" spans="1:7" ht="20.100000000000001" customHeight="1">
      <c r="A1" s="980" t="s">
        <v>714</v>
      </c>
      <c r="B1" s="980"/>
      <c r="C1" s="980"/>
      <c r="D1" s="980"/>
      <c r="E1" s="920"/>
      <c r="F1" s="920"/>
      <c r="G1" s="920"/>
    </row>
    <row r="2" spans="1:7" ht="20.100000000000001" customHeight="1" thickBot="1">
      <c r="A2" s="981"/>
      <c r="B2" s="981"/>
      <c r="C2" s="981"/>
      <c r="D2" s="981"/>
      <c r="E2" s="24"/>
      <c r="F2" s="24"/>
      <c r="G2" s="24"/>
    </row>
    <row r="3" spans="1:7" ht="20.100000000000001" customHeight="1">
      <c r="A3" s="978" t="s">
        <v>173</v>
      </c>
      <c r="B3" s="799" t="s">
        <v>626</v>
      </c>
      <c r="C3" s="925" t="s">
        <v>630</v>
      </c>
      <c r="D3" s="799" t="s">
        <v>690</v>
      </c>
      <c r="E3" s="18"/>
    </row>
    <row r="4" spans="1:7" ht="20.100000000000001" customHeight="1">
      <c r="A4" s="979"/>
      <c r="B4" s="801">
        <v>14.6</v>
      </c>
      <c r="C4" s="801">
        <v>14.75</v>
      </c>
      <c r="D4" s="801">
        <f>'642 PAYROLL'!M15</f>
        <v>16.281200000000002</v>
      </c>
      <c r="E4" s="13"/>
      <c r="F4" s="20"/>
      <c r="G4" s="19"/>
    </row>
    <row r="5" spans="1:7" ht="20.100000000000001" customHeight="1">
      <c r="A5" s="923"/>
      <c r="B5" s="804"/>
      <c r="C5" s="804"/>
      <c r="D5" s="803"/>
      <c r="E5" s="16"/>
      <c r="F5" s="16"/>
      <c r="G5" s="16"/>
    </row>
    <row r="6" spans="1:7" ht="20.100000000000001" customHeight="1">
      <c r="A6" s="978" t="s">
        <v>173</v>
      </c>
      <c r="B6" s="800" t="s">
        <v>627</v>
      </c>
      <c r="C6" s="924" t="s">
        <v>631</v>
      </c>
      <c r="D6" s="800" t="s">
        <v>691</v>
      </c>
      <c r="G6" s="16"/>
    </row>
    <row r="7" spans="1:7" ht="20.100000000000001" customHeight="1">
      <c r="A7" s="979"/>
      <c r="B7" s="801">
        <v>17.239999999999998</v>
      </c>
      <c r="C7" s="801">
        <v>17.41</v>
      </c>
      <c r="D7" s="801">
        <f>'642 PAYROLL'!M9</f>
        <v>18.5032</v>
      </c>
      <c r="G7" s="16"/>
    </row>
    <row r="8" spans="1:7" ht="20.100000000000001" customHeight="1">
      <c r="A8" s="923"/>
      <c r="B8" s="804"/>
      <c r="C8" s="804"/>
      <c r="D8" s="803"/>
      <c r="G8" s="16"/>
    </row>
    <row r="9" spans="1:7" ht="20.100000000000001" customHeight="1">
      <c r="A9" s="978" t="s">
        <v>173</v>
      </c>
      <c r="B9" s="800" t="s">
        <v>628</v>
      </c>
      <c r="C9" s="924" t="s">
        <v>632</v>
      </c>
      <c r="D9" s="800" t="s">
        <v>692</v>
      </c>
      <c r="G9" s="16"/>
    </row>
    <row r="10" spans="1:7" ht="20.100000000000001" customHeight="1">
      <c r="A10" s="979"/>
      <c r="B10" s="801">
        <v>19.52</v>
      </c>
      <c r="C10" s="801">
        <v>19.72</v>
      </c>
      <c r="D10" s="801">
        <f>'642 PAYROLL'!M6</f>
        <v>20.876700000000003</v>
      </c>
      <c r="G10" s="16"/>
    </row>
    <row r="11" spans="1:7" ht="20.100000000000001" customHeight="1">
      <c r="A11" s="923"/>
      <c r="B11" s="804"/>
      <c r="C11" s="804"/>
      <c r="D11" s="803"/>
    </row>
    <row r="12" spans="1:7" ht="20.100000000000001" customHeight="1">
      <c r="A12" s="978" t="s">
        <v>173</v>
      </c>
      <c r="B12" s="800" t="s">
        <v>629</v>
      </c>
      <c r="C12" s="924" t="s">
        <v>633</v>
      </c>
      <c r="D12" s="800" t="s">
        <v>693</v>
      </c>
    </row>
    <row r="13" spans="1:7" ht="20.100000000000001" customHeight="1">
      <c r="A13" s="979"/>
      <c r="B13" s="801">
        <v>20.6</v>
      </c>
      <c r="C13" s="801">
        <v>20.81</v>
      </c>
      <c r="D13" s="801">
        <f>'642 PAYROLL'!M3</f>
        <v>21.674600000000002</v>
      </c>
    </row>
    <row r="14" spans="1:7" ht="20.100000000000001" customHeight="1" thickBot="1">
      <c r="A14" s="922"/>
      <c r="B14" s="921"/>
      <c r="C14" s="805"/>
      <c r="D14" s="802"/>
    </row>
    <row r="15" spans="1:7" ht="20.100000000000001" customHeight="1">
      <c r="E15" s="16"/>
    </row>
    <row r="16" spans="1:7" ht="20.100000000000001" customHeight="1"/>
    <row r="17" spans="4:4" ht="20.100000000000001" customHeight="1">
      <c r="D17" s="674"/>
    </row>
    <row r="18" spans="4:4" ht="20.100000000000001" customHeight="1"/>
    <row r="19" spans="4:4" ht="20.100000000000001" customHeight="1"/>
    <row r="20" spans="4:4" ht="20.100000000000001" customHeight="1"/>
    <row r="21" spans="4:4" ht="20.100000000000001" customHeight="1"/>
    <row r="22" spans="4:4" ht="20.100000000000001" customHeight="1"/>
    <row r="23" spans="4:4" ht="20.100000000000001" customHeight="1"/>
    <row r="24" spans="4:4" ht="20.100000000000001" customHeight="1"/>
    <row r="25" spans="4:4" ht="20.100000000000001" customHeight="1"/>
    <row r="26" spans="4:4" ht="20.100000000000001" customHeight="1"/>
    <row r="27" spans="4:4" ht="20.100000000000001" customHeight="1"/>
    <row r="28" spans="4:4" ht="20.100000000000001" customHeight="1"/>
    <row r="29" spans="4:4" ht="20.100000000000001" customHeight="1"/>
  </sheetData>
  <mergeCells count="5">
    <mergeCell ref="A6:A7"/>
    <mergeCell ref="A9:A10"/>
    <mergeCell ref="A12:A13"/>
    <mergeCell ref="A1:D2"/>
    <mergeCell ref="A3:A4"/>
  </mergeCells>
  <phoneticPr fontId="19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24"/>
  <sheetViews>
    <sheetView workbookViewId="0">
      <selection sqref="A1:M1"/>
    </sheetView>
  </sheetViews>
  <sheetFormatPr defaultRowHeight="12.75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30" customHeight="1">
      <c r="A1" s="982" t="s">
        <v>694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153"/>
      <c r="O1" s="153"/>
      <c r="P1" s="153"/>
    </row>
    <row r="2" spans="1:56" ht="9.75" customHeight="1">
      <c r="A2" s="154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56" ht="23.25" customHeight="1">
      <c r="A3" s="983" t="s">
        <v>51</v>
      </c>
      <c r="B3" s="984"/>
      <c r="C3" s="984"/>
      <c r="D3" s="828" t="s">
        <v>254</v>
      </c>
      <c r="E3" s="829">
        <f>'642 PAYROLL'!M15</f>
        <v>16.281200000000002</v>
      </c>
      <c r="F3" s="828" t="s">
        <v>678</v>
      </c>
      <c r="G3" s="829">
        <f>'642 PAYROLL'!M9</f>
        <v>18.5032</v>
      </c>
      <c r="H3" s="828" t="s">
        <v>252</v>
      </c>
      <c r="I3" s="829">
        <f>'642 PAYROLL'!M6</f>
        <v>20.876700000000003</v>
      </c>
      <c r="J3" s="828" t="s">
        <v>251</v>
      </c>
      <c r="K3" s="829">
        <f>'642 PAYROLL'!M3</f>
        <v>21.674600000000002</v>
      </c>
      <c r="O3" s="153"/>
      <c r="P3" s="153"/>
    </row>
    <row r="4" spans="1:56" ht="9.75" customHeight="1">
      <c r="A4" s="154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56" ht="13.5" thickBot="1">
      <c r="A5" s="155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56" ht="19.5" customHeight="1">
      <c r="A6" s="157" t="s">
        <v>52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9"/>
      <c r="M6" s="16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ht="19.5" customHeight="1">
      <c r="A7" s="161"/>
      <c r="B7" s="162"/>
      <c r="C7" s="163" t="s">
        <v>352</v>
      </c>
      <c r="D7" s="164">
        <v>1</v>
      </c>
      <c r="E7" s="164">
        <v>2</v>
      </c>
      <c r="F7" s="164">
        <v>3</v>
      </c>
      <c r="G7" s="164">
        <v>4</v>
      </c>
      <c r="H7" s="164">
        <v>5</v>
      </c>
      <c r="I7" s="164">
        <v>6</v>
      </c>
      <c r="J7" s="164">
        <v>7</v>
      </c>
      <c r="K7" s="164">
        <v>8</v>
      </c>
      <c r="L7" s="918">
        <v>9</v>
      </c>
      <c r="M7" s="165">
        <v>10</v>
      </c>
    </row>
    <row r="8" spans="1:56" ht="19.5" customHeight="1">
      <c r="A8" s="161"/>
      <c r="B8" s="166" t="s">
        <v>53</v>
      </c>
      <c r="C8" s="167"/>
      <c r="D8" s="168"/>
      <c r="E8" s="169"/>
      <c r="F8" s="169"/>
      <c r="G8" s="169"/>
      <c r="H8" s="169"/>
      <c r="I8" s="169"/>
      <c r="J8" s="169"/>
      <c r="K8" s="169"/>
      <c r="L8" s="169"/>
      <c r="M8" s="170"/>
    </row>
    <row r="9" spans="1:56" ht="19.5" customHeight="1">
      <c r="A9" s="161"/>
      <c r="B9" s="162"/>
      <c r="C9" s="171" t="s">
        <v>54</v>
      </c>
      <c r="D9" s="172">
        <v>0.25</v>
      </c>
      <c r="E9" s="172">
        <v>0.2</v>
      </c>
      <c r="F9" s="172">
        <v>0.15</v>
      </c>
      <c r="G9" s="172">
        <v>0.1</v>
      </c>
      <c r="H9" s="172">
        <v>0.2</v>
      </c>
      <c r="I9" s="172">
        <v>0.1</v>
      </c>
      <c r="J9" s="172">
        <v>0.2</v>
      </c>
      <c r="K9" s="172">
        <v>0.1</v>
      </c>
      <c r="L9" s="919">
        <v>0.2</v>
      </c>
      <c r="M9" s="173">
        <v>0.1</v>
      </c>
    </row>
    <row r="10" spans="1:56" ht="19.5" customHeight="1">
      <c r="A10" s="161"/>
      <c r="B10" s="162"/>
      <c r="C10" s="171" t="s">
        <v>55</v>
      </c>
      <c r="D10" s="172">
        <v>0.25</v>
      </c>
      <c r="E10" s="172">
        <f t="shared" ref="E10:M10" si="0">+D10+E9</f>
        <v>0.45</v>
      </c>
      <c r="F10" s="172">
        <f t="shared" si="0"/>
        <v>0.6</v>
      </c>
      <c r="G10" s="172">
        <f t="shared" si="0"/>
        <v>0.7</v>
      </c>
      <c r="H10" s="172">
        <f t="shared" si="0"/>
        <v>0.89999999999999991</v>
      </c>
      <c r="I10" s="172">
        <f t="shared" si="0"/>
        <v>0.99999999999999989</v>
      </c>
      <c r="J10" s="172">
        <f t="shared" si="0"/>
        <v>1.2</v>
      </c>
      <c r="K10" s="172">
        <f t="shared" si="0"/>
        <v>1.3</v>
      </c>
      <c r="L10" s="172">
        <f t="shared" si="0"/>
        <v>1.5</v>
      </c>
      <c r="M10" s="173">
        <f t="shared" si="0"/>
        <v>1.6</v>
      </c>
    </row>
    <row r="12" spans="1:56" ht="13.5" thickBot="1"/>
    <row r="13" spans="1:56" ht="19.5" customHeight="1">
      <c r="A13" s="157" t="s">
        <v>52</v>
      </c>
      <c r="B13" s="158"/>
      <c r="C13" s="158"/>
      <c r="D13" s="159"/>
      <c r="E13" s="159"/>
      <c r="F13" s="159"/>
      <c r="G13" s="159"/>
      <c r="H13" s="159"/>
      <c r="I13" s="159"/>
      <c r="J13" s="159"/>
      <c r="K13" s="159"/>
      <c r="L13" s="159"/>
      <c r="M13" s="160"/>
    </row>
    <row r="14" spans="1:56" ht="19.5" customHeight="1">
      <c r="A14" s="161"/>
      <c r="B14" s="162"/>
      <c r="C14" s="163" t="s">
        <v>352</v>
      </c>
      <c r="D14" s="164">
        <v>11</v>
      </c>
      <c r="E14" s="164">
        <v>12</v>
      </c>
      <c r="F14" s="164">
        <v>13</v>
      </c>
      <c r="G14" s="164">
        <v>14</v>
      </c>
      <c r="H14" s="164">
        <v>15</v>
      </c>
      <c r="I14" s="164">
        <v>16</v>
      </c>
      <c r="J14" s="164">
        <v>17</v>
      </c>
      <c r="K14" s="164">
        <v>18</v>
      </c>
      <c r="L14" s="918">
        <v>19</v>
      </c>
      <c r="M14" s="165">
        <v>20</v>
      </c>
    </row>
    <row r="15" spans="1:56" ht="19.5" customHeight="1">
      <c r="A15" s="161"/>
      <c r="B15" s="166" t="s">
        <v>53</v>
      </c>
      <c r="C15" s="166"/>
      <c r="D15" s="169"/>
      <c r="E15" s="174"/>
      <c r="F15" s="169"/>
      <c r="G15" s="169"/>
      <c r="H15" s="169"/>
      <c r="I15" s="169"/>
      <c r="J15" s="169"/>
      <c r="K15" s="169"/>
      <c r="L15" s="169"/>
      <c r="M15" s="170"/>
    </row>
    <row r="16" spans="1:56" ht="19.5" customHeight="1">
      <c r="A16" s="161"/>
      <c r="B16" s="162"/>
      <c r="C16" s="171" t="s">
        <v>54</v>
      </c>
      <c r="D16" s="172">
        <v>0.2</v>
      </c>
      <c r="E16" s="172">
        <v>0.1</v>
      </c>
      <c r="F16" s="172">
        <v>0.2</v>
      </c>
      <c r="G16" s="172">
        <v>0.1</v>
      </c>
      <c r="H16" s="172">
        <v>0.2</v>
      </c>
      <c r="I16" s="172">
        <v>0.1</v>
      </c>
      <c r="J16" s="172">
        <v>0.2</v>
      </c>
      <c r="K16" s="172">
        <v>0.1</v>
      </c>
      <c r="L16" s="919">
        <v>0.2</v>
      </c>
      <c r="M16" s="173">
        <v>0.1</v>
      </c>
    </row>
    <row r="17" spans="1:13" ht="19.5" customHeight="1">
      <c r="A17" s="161"/>
      <c r="B17" s="162"/>
      <c r="C17" s="171" t="s">
        <v>55</v>
      </c>
      <c r="D17" s="172">
        <f>+M10+D16</f>
        <v>1.8</v>
      </c>
      <c r="E17" s="175">
        <f t="shared" ref="E17:M17" si="1">+D17+E16</f>
        <v>1.9000000000000001</v>
      </c>
      <c r="F17" s="175">
        <f t="shared" si="1"/>
        <v>2.1</v>
      </c>
      <c r="G17" s="175">
        <f t="shared" si="1"/>
        <v>2.2000000000000002</v>
      </c>
      <c r="H17" s="175">
        <f t="shared" si="1"/>
        <v>2.4000000000000004</v>
      </c>
      <c r="I17" s="175">
        <f t="shared" si="1"/>
        <v>2.5000000000000004</v>
      </c>
      <c r="J17" s="175">
        <f t="shared" si="1"/>
        <v>2.7000000000000006</v>
      </c>
      <c r="K17" s="175">
        <f t="shared" si="1"/>
        <v>2.8000000000000007</v>
      </c>
      <c r="L17" s="175">
        <f t="shared" si="1"/>
        <v>3.0000000000000009</v>
      </c>
      <c r="M17" s="173">
        <f t="shared" si="1"/>
        <v>3.100000000000001</v>
      </c>
    </row>
    <row r="19" spans="1:13" ht="13.5" thickBot="1"/>
    <row r="20" spans="1:13" ht="19.5" customHeight="1">
      <c r="A20" s="157" t="s">
        <v>52</v>
      </c>
      <c r="B20" s="158"/>
      <c r="C20" s="158"/>
      <c r="D20" s="159"/>
      <c r="E20" s="159"/>
      <c r="F20" s="159"/>
      <c r="G20" s="159"/>
      <c r="H20" s="159"/>
      <c r="I20" s="159"/>
      <c r="J20" s="159"/>
      <c r="K20" s="159"/>
      <c r="L20" s="159"/>
      <c r="M20" s="160"/>
    </row>
    <row r="21" spans="1:13" ht="19.5" customHeight="1">
      <c r="A21" s="161"/>
      <c r="B21" s="162"/>
      <c r="C21" s="163" t="s">
        <v>352</v>
      </c>
      <c r="D21" s="164">
        <v>21</v>
      </c>
      <c r="E21" s="164">
        <v>22</v>
      </c>
      <c r="F21" s="164">
        <v>23</v>
      </c>
      <c r="G21" s="164">
        <v>24</v>
      </c>
      <c r="H21" s="164">
        <v>25</v>
      </c>
      <c r="I21" s="164">
        <v>26</v>
      </c>
      <c r="J21" s="164">
        <v>27</v>
      </c>
      <c r="K21" s="164">
        <v>28</v>
      </c>
      <c r="L21" s="918">
        <v>29</v>
      </c>
      <c r="M21" s="165">
        <v>30</v>
      </c>
    </row>
    <row r="22" spans="1:13" ht="19.5" customHeight="1">
      <c r="A22" s="161"/>
      <c r="B22" s="166" t="s">
        <v>53</v>
      </c>
      <c r="C22" s="166"/>
      <c r="D22" s="169"/>
      <c r="E22" s="174"/>
      <c r="F22" s="169"/>
      <c r="G22" s="169"/>
      <c r="H22" s="169"/>
      <c r="I22" s="169"/>
      <c r="J22" s="169"/>
      <c r="K22" s="169"/>
      <c r="L22" s="169"/>
      <c r="M22" s="170"/>
    </row>
    <row r="23" spans="1:13" ht="19.5" customHeight="1">
      <c r="A23" s="161"/>
      <c r="B23" s="162"/>
      <c r="C23" s="171" t="s">
        <v>54</v>
      </c>
      <c r="D23" s="172">
        <v>0.2</v>
      </c>
      <c r="E23" s="172">
        <v>0.1</v>
      </c>
      <c r="F23" s="172">
        <v>0.2</v>
      </c>
      <c r="G23" s="172">
        <v>0.1</v>
      </c>
      <c r="H23" s="172">
        <v>0.2</v>
      </c>
      <c r="I23" s="172">
        <v>0.1</v>
      </c>
      <c r="J23" s="172">
        <v>0.2</v>
      </c>
      <c r="K23" s="172">
        <v>0.1</v>
      </c>
      <c r="L23" s="919">
        <v>0.2</v>
      </c>
      <c r="M23" s="173">
        <v>0.1</v>
      </c>
    </row>
    <row r="24" spans="1:13" ht="19.5" customHeight="1">
      <c r="A24" s="161"/>
      <c r="B24" s="162"/>
      <c r="C24" s="171" t="s">
        <v>55</v>
      </c>
      <c r="D24" s="172">
        <f>+M17+D23</f>
        <v>3.3000000000000012</v>
      </c>
      <c r="E24" s="172">
        <f t="shared" ref="E24:M24" si="2">+D24+E23</f>
        <v>3.4000000000000012</v>
      </c>
      <c r="F24" s="172">
        <f t="shared" si="2"/>
        <v>3.6000000000000014</v>
      </c>
      <c r="G24" s="172">
        <f t="shared" si="2"/>
        <v>3.7000000000000015</v>
      </c>
      <c r="H24" s="172">
        <f t="shared" si="2"/>
        <v>3.9000000000000017</v>
      </c>
      <c r="I24" s="172">
        <f t="shared" si="2"/>
        <v>4.0000000000000018</v>
      </c>
      <c r="J24" s="172">
        <f t="shared" si="2"/>
        <v>4.200000000000002</v>
      </c>
      <c r="K24" s="172">
        <f t="shared" si="2"/>
        <v>4.3000000000000016</v>
      </c>
      <c r="L24" s="172">
        <f t="shared" si="2"/>
        <v>4.5000000000000018</v>
      </c>
      <c r="M24" s="173">
        <f t="shared" si="2"/>
        <v>4.6000000000000014</v>
      </c>
    </row>
  </sheetData>
  <mergeCells count="2">
    <mergeCell ref="A1:M1"/>
    <mergeCell ref="A3:C3"/>
  </mergeCells>
  <printOptions horizontalCentered="1"/>
  <pageMargins left="0.25" right="0.25" top="0.43" bottom="0.55000000000000004" header="0.23" footer="0.3"/>
  <pageSetup scale="94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zoomScaleNormal="100" workbookViewId="0"/>
  </sheetViews>
  <sheetFormatPr defaultColWidth="10.42578125" defaultRowHeight="12.75"/>
  <cols>
    <col min="1" max="1" width="24.42578125" style="177" bestFit="1" customWidth="1"/>
    <col min="2" max="2" width="21.140625" style="177" bestFit="1" customWidth="1"/>
    <col min="3" max="3" width="23.28515625" style="177" bestFit="1" customWidth="1"/>
    <col min="4" max="16" width="9.42578125" style="177" customWidth="1"/>
    <col min="17" max="16384" width="10.42578125" style="177"/>
  </cols>
  <sheetData>
    <row r="1" spans="1:18">
      <c r="C1" s="178"/>
      <c r="D1" s="178"/>
      <c r="E1" s="178"/>
      <c r="F1" s="178"/>
      <c r="G1" s="178"/>
      <c r="H1" s="178"/>
      <c r="I1" s="178"/>
      <c r="J1" s="179"/>
      <c r="K1" s="178"/>
      <c r="L1" s="178"/>
      <c r="M1" s="178"/>
      <c r="N1" s="178"/>
      <c r="O1" s="180"/>
      <c r="P1" s="181"/>
      <c r="Q1" s="178"/>
      <c r="R1" s="178"/>
    </row>
    <row r="2" spans="1:18" s="185" customFormat="1" ht="24.95" customHeight="1">
      <c r="A2" s="916" t="s">
        <v>32</v>
      </c>
      <c r="B2" s="916" t="s">
        <v>750</v>
      </c>
      <c r="C2" s="916" t="s">
        <v>751</v>
      </c>
      <c r="D2"/>
      <c r="E2"/>
      <c r="F2"/>
      <c r="G2" s="182"/>
      <c r="H2" s="182"/>
      <c r="I2" s="182"/>
      <c r="J2" s="182"/>
      <c r="K2" s="182"/>
      <c r="L2" s="182"/>
      <c r="M2" s="182"/>
      <c r="N2" s="182"/>
      <c r="O2" s="183"/>
      <c r="P2" s="184"/>
      <c r="Q2" s="183"/>
      <c r="R2" s="182"/>
    </row>
    <row r="3" spans="1:18" ht="24.75" customHeight="1">
      <c r="A3" s="917" t="s">
        <v>33</v>
      </c>
      <c r="B3" s="938">
        <f>(30*12)/2756</f>
        <v>0.13062409288824384</v>
      </c>
      <c r="C3" s="938">
        <f>(30*12)/2080</f>
        <v>0.17307692307692307</v>
      </c>
      <c r="D3"/>
      <c r="E3"/>
      <c r="F3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7"/>
      <c r="R3" s="178"/>
    </row>
    <row r="4" spans="1:18" ht="24.95" hidden="1" customHeight="1">
      <c r="A4" s="917" t="s">
        <v>34</v>
      </c>
      <c r="B4" s="938">
        <v>50</v>
      </c>
      <c r="C4" s="938">
        <v>51</v>
      </c>
      <c r="D4"/>
      <c r="E4"/>
      <c r="F4"/>
      <c r="G4"/>
      <c r="H4" s="186"/>
      <c r="I4" s="186"/>
      <c r="J4" s="186"/>
      <c r="K4" s="186"/>
      <c r="L4" s="186"/>
      <c r="M4" s="186"/>
      <c r="N4" s="186"/>
      <c r="O4" s="186"/>
      <c r="P4" s="186"/>
      <c r="Q4" s="187"/>
      <c r="R4" s="178"/>
    </row>
    <row r="5" spans="1:18" ht="24.95" customHeight="1">
      <c r="A5" s="917" t="s">
        <v>35</v>
      </c>
      <c r="B5" s="938">
        <f>(50*12)/2756</f>
        <v>0.21770682148040638</v>
      </c>
      <c r="C5" s="938">
        <f>(50*12)/2080</f>
        <v>0.28846153846153844</v>
      </c>
      <c r="D5"/>
      <c r="E5"/>
      <c r="F5" s="937"/>
      <c r="G5" s="937"/>
      <c r="H5" s="186"/>
      <c r="I5" s="186"/>
      <c r="J5" s="186"/>
      <c r="K5" s="186"/>
      <c r="L5" s="186"/>
      <c r="M5" s="186"/>
      <c r="N5" s="186"/>
      <c r="O5" s="186"/>
      <c r="P5" s="186"/>
      <c r="Q5" s="187"/>
      <c r="R5" s="178"/>
    </row>
    <row r="6" spans="1:18" ht="24.95" customHeight="1">
      <c r="A6" s="917" t="s">
        <v>36</v>
      </c>
      <c r="B6" s="938">
        <f>(50*12)/2756</f>
        <v>0.21770682148040638</v>
      </c>
      <c r="C6" s="938">
        <f>(50*12)/2080</f>
        <v>0.28846153846153844</v>
      </c>
      <c r="D6"/>
      <c r="E6"/>
      <c r="F6"/>
      <c r="G6" s="186"/>
      <c r="H6" s="186"/>
      <c r="I6" s="186"/>
      <c r="J6" s="186"/>
      <c r="K6" s="186"/>
      <c r="L6" s="186"/>
      <c r="M6" s="186"/>
      <c r="N6" s="186"/>
      <c r="O6" s="188"/>
      <c r="P6" s="186"/>
      <c r="Q6" s="187"/>
      <c r="R6" s="178"/>
    </row>
    <row r="7" spans="1:18" ht="24.75" customHeight="1">
      <c r="A7" s="917" t="s">
        <v>37</v>
      </c>
      <c r="B7" s="938">
        <f>(50*12)/2756</f>
        <v>0.21770682148040638</v>
      </c>
      <c r="C7" s="938">
        <f>(50*12)/2080</f>
        <v>0.28846153846153844</v>
      </c>
      <c r="D7"/>
      <c r="E7"/>
      <c r="F7"/>
      <c r="G7" s="186"/>
      <c r="H7" s="186"/>
      <c r="I7" s="186"/>
      <c r="J7" s="186"/>
      <c r="K7" s="186"/>
      <c r="L7" s="186"/>
      <c r="M7" s="186"/>
      <c r="N7" s="186"/>
      <c r="O7" s="188"/>
      <c r="P7" s="186"/>
      <c r="Q7" s="187"/>
      <c r="R7" s="178"/>
    </row>
    <row r="8" spans="1:18" ht="24.95" customHeight="1">
      <c r="A8" s="917" t="s">
        <v>713</v>
      </c>
      <c r="B8" s="938">
        <f>(50*12)/2756</f>
        <v>0.21770682148040638</v>
      </c>
      <c r="C8" s="938">
        <f>(50*12)/2080</f>
        <v>0.28846153846153844</v>
      </c>
      <c r="D8"/>
      <c r="E8"/>
      <c r="F8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7"/>
      <c r="R8" s="178"/>
    </row>
    <row r="9" spans="1:18" ht="24.95" customHeight="1">
      <c r="A9" s="917" t="s">
        <v>712</v>
      </c>
      <c r="B9" s="938">
        <f>(100*12)/2756</f>
        <v>0.43541364296081275</v>
      </c>
      <c r="C9" s="938">
        <f>(100*12)/2080</f>
        <v>0.57692307692307687</v>
      </c>
      <c r="D9"/>
      <c r="E9"/>
      <c r="F9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7"/>
      <c r="R9" s="178"/>
    </row>
    <row r="10" spans="1:18" ht="24.95" customHeight="1">
      <c r="A10" s="917" t="s">
        <v>711</v>
      </c>
      <c r="B10" s="938">
        <f>(200*12)/2756+(0.01)</f>
        <v>0.88082728592162551</v>
      </c>
      <c r="C10" s="938">
        <f>(200*12)/2080</f>
        <v>1.1538461538461537</v>
      </c>
      <c r="D10"/>
      <c r="E10"/>
      <c r="F10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7"/>
      <c r="R10" s="178"/>
    </row>
    <row r="11" spans="1:18" ht="24.95" customHeight="1">
      <c r="A11" s="917" t="s">
        <v>38</v>
      </c>
      <c r="B11" s="938">
        <f>(200*12)/2756+(0.01)</f>
        <v>0.88082728592162551</v>
      </c>
      <c r="C11" s="938">
        <f>(200*12)/2080</f>
        <v>1.1538461538461537</v>
      </c>
      <c r="D11"/>
      <c r="E11"/>
      <c r="F11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7"/>
      <c r="R11" s="178"/>
    </row>
    <row r="12" spans="1:18" ht="24.95" customHeight="1">
      <c r="A12" s="917" t="s">
        <v>39</v>
      </c>
      <c r="B12" s="938">
        <f>(50*12)/2756</f>
        <v>0.21770682148040638</v>
      </c>
      <c r="C12" s="938">
        <f>(50*12)/2080</f>
        <v>0.28846153846153844</v>
      </c>
      <c r="D12"/>
      <c r="E12"/>
      <c r="F12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7"/>
      <c r="R12" s="178"/>
    </row>
    <row r="13" spans="1:18" ht="24.95" customHeight="1">
      <c r="A13" s="917" t="s">
        <v>40</v>
      </c>
      <c r="B13" s="938">
        <f>(75*12)/2756</f>
        <v>0.32656023222060959</v>
      </c>
      <c r="C13" s="938">
        <f>(75*12)/2080</f>
        <v>0.43269230769230771</v>
      </c>
      <c r="D13"/>
      <c r="E13"/>
      <c r="F13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7"/>
      <c r="R13" s="178"/>
    </row>
    <row r="14" spans="1:18" ht="24.95" customHeight="1">
      <c r="A14" s="917" t="s">
        <v>41</v>
      </c>
      <c r="B14" s="938">
        <f>(100*12)/2756</f>
        <v>0.43541364296081275</v>
      </c>
      <c r="C14" s="938">
        <f>(100*12)/2080</f>
        <v>0.57692307692307687</v>
      </c>
      <c r="D14"/>
      <c r="E14"/>
      <c r="F14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7"/>
      <c r="R14" s="178"/>
    </row>
    <row r="15" spans="1:18" ht="24.95" customHeight="1">
      <c r="A15" s="917" t="s">
        <v>353</v>
      </c>
      <c r="B15" s="938">
        <f>(50*12)/2756</f>
        <v>0.21770682148040638</v>
      </c>
      <c r="C15" s="938">
        <f>(50*12)/2080</f>
        <v>0.28846153846153844</v>
      </c>
      <c r="D15"/>
      <c r="E15"/>
      <c r="F15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7"/>
      <c r="R15" s="178"/>
    </row>
    <row r="16" spans="1:18" ht="24.95" customHeight="1">
      <c r="C16"/>
      <c r="D16"/>
      <c r="E16"/>
      <c r="F1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7"/>
      <c r="R16" s="178"/>
    </row>
    <row r="17" spans="1:18" ht="20.100000000000001" customHeight="1">
      <c r="A17" s="178"/>
      <c r="B17" s="186"/>
      <c r="C17"/>
      <c r="D17"/>
      <c r="E17"/>
      <c r="F17"/>
      <c r="G17" s="186"/>
      <c r="H17" s="186"/>
      <c r="I17" s="186"/>
      <c r="J17" s="186"/>
      <c r="K17" s="186"/>
      <c r="L17" s="186"/>
      <c r="M17" s="186"/>
      <c r="N17" s="186"/>
      <c r="O17" s="188"/>
      <c r="P17" s="186"/>
      <c r="Q17" s="187"/>
      <c r="R17" s="178"/>
    </row>
    <row r="18" spans="1:18" ht="20.100000000000001" customHeight="1">
      <c r="A18" s="744"/>
      <c r="B18" s="186"/>
      <c r="C18"/>
      <c r="D18"/>
      <c r="E18"/>
      <c r="F18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7"/>
      <c r="R18" s="178"/>
    </row>
    <row r="19" spans="1:18" ht="20.100000000000001" customHeight="1">
      <c r="A19" s="178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7"/>
      <c r="R19" s="178"/>
    </row>
    <row r="20" spans="1:18" ht="20.100000000000001" customHeight="1">
      <c r="A20" s="178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7"/>
      <c r="R20" s="178"/>
    </row>
    <row r="21" spans="1:18">
      <c r="A21" s="178"/>
      <c r="B21" s="186"/>
      <c r="C21" s="186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86"/>
      <c r="P21" s="186"/>
      <c r="Q21" s="187"/>
      <c r="R21" s="178"/>
    </row>
    <row r="22" spans="1:18">
      <c r="A22" s="178"/>
      <c r="B22" s="186"/>
      <c r="C22" s="186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</row>
    <row r="23" spans="1:18">
      <c r="A23" s="178"/>
      <c r="B23" s="178"/>
    </row>
  </sheetData>
  <phoneticPr fontId="32" type="noConversion"/>
  <printOptions horizontalCentered="1"/>
  <pageMargins left="1" right="0.75" top="1.5" bottom="1" header="1.25" footer="0.5"/>
  <pageSetup orientation="portrait" r:id="rId1"/>
  <headerFooter alignWithMargins="0">
    <oddHeader>&amp;C&amp;12CERTIFICATION PAY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workbookViewId="0"/>
  </sheetViews>
  <sheetFormatPr defaultRowHeight="18.75" customHeight="1"/>
  <cols>
    <col min="1" max="1" width="35.28515625" style="14" bestFit="1" customWidth="1"/>
    <col min="2" max="2" width="11.28515625" style="104" hidden="1" customWidth="1"/>
    <col min="3" max="3" width="11.28515625" style="14" hidden="1" customWidth="1"/>
    <col min="4" max="7" width="11.28515625" style="104" customWidth="1"/>
    <col min="8" max="16384" width="9.140625" style="104"/>
  </cols>
  <sheetData>
    <row r="1" spans="1:7" ht="18.75" customHeight="1">
      <c r="A1" s="787" t="s">
        <v>575</v>
      </c>
      <c r="B1" s="307"/>
      <c r="C1" s="202"/>
      <c r="D1" s="202"/>
      <c r="E1" s="202"/>
      <c r="F1" s="202"/>
      <c r="G1" s="202"/>
    </row>
    <row r="2" spans="1:7" ht="18.75" customHeight="1">
      <c r="A2" s="193"/>
      <c r="B2" s="282"/>
      <c r="C2" s="106"/>
      <c r="D2" s="106"/>
      <c r="E2" s="57"/>
      <c r="F2" s="57"/>
      <c r="G2" s="57"/>
    </row>
    <row r="3" spans="1:7" s="201" customFormat="1" ht="18.75" customHeight="1">
      <c r="A3" s="200" t="s">
        <v>133</v>
      </c>
      <c r="B3" s="203">
        <v>2010</v>
      </c>
      <c r="C3" s="517">
        <v>2013</v>
      </c>
      <c r="D3" s="625">
        <v>2014</v>
      </c>
      <c r="E3" s="625">
        <v>2015</v>
      </c>
      <c r="F3" s="625">
        <v>2016</v>
      </c>
      <c r="G3" s="625">
        <v>2017</v>
      </c>
    </row>
    <row r="4" spans="1:7" s="201" customFormat="1" ht="18.75" customHeight="1">
      <c r="A4" s="34" t="s">
        <v>192</v>
      </c>
      <c r="B4" s="116">
        <v>10720</v>
      </c>
      <c r="C4" s="660">
        <v>10944.47</v>
      </c>
      <c r="D4" s="736">
        <f>2759.81+(2831*3)</f>
        <v>11252.81</v>
      </c>
      <c r="E4" s="736">
        <f>(2661.13*1)+(3201.95*3)</f>
        <v>12266.98</v>
      </c>
      <c r="F4" s="736">
        <v>12800</v>
      </c>
      <c r="G4" s="736">
        <f>3250*4</f>
        <v>13000</v>
      </c>
    </row>
    <row r="5" spans="1:7" s="201" customFormat="1" ht="18.75" customHeight="1">
      <c r="A5" s="34" t="s">
        <v>268</v>
      </c>
      <c r="B5" s="116">
        <v>5570</v>
      </c>
      <c r="C5" s="660">
        <v>6000</v>
      </c>
      <c r="D5" s="660">
        <f>5900*1.19</f>
        <v>7021</v>
      </c>
      <c r="E5" s="660">
        <f>5874*1.27</f>
        <v>7459.9800000000005</v>
      </c>
      <c r="F5" s="660">
        <f>5874*1.34</f>
        <v>7871.1600000000008</v>
      </c>
      <c r="G5" s="660">
        <f>5874*1.44</f>
        <v>8458.56</v>
      </c>
    </row>
    <row r="6" spans="1:7" ht="18.75" customHeight="1">
      <c r="A6" s="34" t="s">
        <v>43</v>
      </c>
      <c r="B6" s="44">
        <v>200</v>
      </c>
      <c r="C6" s="68">
        <v>200</v>
      </c>
      <c r="D6" s="68">
        <v>200</v>
      </c>
      <c r="E6" s="68">
        <v>200</v>
      </c>
      <c r="F6" s="68">
        <v>200</v>
      </c>
      <c r="G6" s="68">
        <v>200</v>
      </c>
    </row>
    <row r="7" spans="1:7" ht="18.75" customHeight="1">
      <c r="A7" s="360"/>
      <c r="B7" s="44"/>
      <c r="C7" s="68"/>
      <c r="D7" s="68"/>
      <c r="E7" s="68">
        <v>915.48</v>
      </c>
      <c r="F7" s="68"/>
      <c r="G7" s="209"/>
    </row>
    <row r="8" spans="1:7" ht="18.75" customHeight="1">
      <c r="A8" s="825"/>
      <c r="B8" s="44">
        <v>-2890</v>
      </c>
      <c r="C8" s="68"/>
      <c r="D8" s="68"/>
      <c r="E8" s="68"/>
      <c r="F8" s="68"/>
      <c r="G8" s="209"/>
    </row>
    <row r="9" spans="1:7" ht="18.75" customHeight="1">
      <c r="A9" s="76"/>
      <c r="B9" s="44"/>
      <c r="C9" s="68"/>
      <c r="D9" s="68"/>
      <c r="E9" s="68"/>
      <c r="F9" s="68"/>
      <c r="G9" s="209"/>
    </row>
    <row r="10" spans="1:7" ht="18.75" customHeight="1">
      <c r="A10" s="76"/>
      <c r="B10" s="44"/>
      <c r="C10" s="68"/>
      <c r="D10" s="68"/>
      <c r="E10" s="68"/>
      <c r="F10" s="68"/>
      <c r="G10" s="209"/>
    </row>
    <row r="11" spans="1:7" ht="18.75" customHeight="1">
      <c r="A11" s="567"/>
      <c r="B11" s="130">
        <v>-62.93</v>
      </c>
      <c r="C11" s="591"/>
      <c r="D11" s="591"/>
      <c r="E11" s="591"/>
      <c r="F11" s="591"/>
      <c r="G11" s="904"/>
    </row>
    <row r="12" spans="1:7" ht="18.75" customHeight="1">
      <c r="A12" s="565" t="s">
        <v>135</v>
      </c>
      <c r="B12" s="566">
        <f t="shared" ref="B12:G12" si="0">SUM(B4:B11)</f>
        <v>13537.07</v>
      </c>
      <c r="C12" s="566">
        <f t="shared" si="0"/>
        <v>17144.47</v>
      </c>
      <c r="D12" s="566">
        <f t="shared" si="0"/>
        <v>18473.809999999998</v>
      </c>
      <c r="E12" s="624">
        <f t="shared" si="0"/>
        <v>20842.439999999999</v>
      </c>
      <c r="F12" s="624">
        <f t="shared" si="0"/>
        <v>20871.16</v>
      </c>
      <c r="G12" s="905">
        <f t="shared" si="0"/>
        <v>21658.559999999998</v>
      </c>
    </row>
    <row r="13" spans="1:7" ht="16.5" customHeight="1">
      <c r="A13" s="105"/>
      <c r="B13" s="27"/>
      <c r="C13" s="105"/>
      <c r="D13" s="27"/>
      <c r="E13" s="27"/>
      <c r="F13" s="27"/>
      <c r="G13" s="27"/>
    </row>
    <row r="14" spans="1:7" ht="16.5" customHeight="1">
      <c r="A14" s="17"/>
      <c r="B14" s="27"/>
      <c r="C14" s="105"/>
      <c r="D14" s="27"/>
      <c r="E14" s="27"/>
      <c r="F14" s="27"/>
    </row>
    <row r="15" spans="1:7" ht="16.5" customHeight="1">
      <c r="A15" s="253"/>
      <c r="B15" s="148"/>
      <c r="C15" s="146"/>
      <c r="D15" s="148"/>
      <c r="E15" s="148"/>
      <c r="F15" s="148"/>
      <c r="G15" s="641"/>
    </row>
    <row r="16" spans="1:7" ht="16.5" customHeight="1">
      <c r="A16" s="253"/>
      <c r="B16" s="148"/>
      <c r="C16" s="146"/>
      <c r="D16" s="148"/>
      <c r="E16" s="148"/>
      <c r="F16" s="148"/>
      <c r="G16" s="641"/>
    </row>
    <row r="17" spans="1:7" ht="16.5" customHeight="1">
      <c r="A17" s="253"/>
      <c r="B17" s="148"/>
      <c r="C17" s="146"/>
      <c r="D17" s="148"/>
      <c r="E17" s="148"/>
      <c r="F17" s="148"/>
      <c r="G17" s="641"/>
    </row>
    <row r="18" spans="1:7" ht="16.5" customHeight="1">
      <c r="A18" s="253"/>
      <c r="B18" s="148"/>
      <c r="C18" s="146"/>
      <c r="D18" s="148"/>
      <c r="E18" s="148"/>
      <c r="F18" s="148"/>
      <c r="G18" s="641"/>
    </row>
    <row r="19" spans="1:7" ht="16.5" customHeight="1">
      <c r="A19" s="253"/>
      <c r="B19" s="148"/>
      <c r="C19" s="146"/>
      <c r="D19" s="148"/>
      <c r="E19" s="148"/>
      <c r="F19" s="148"/>
      <c r="G19" s="641"/>
    </row>
    <row r="20" spans="1:7" ht="16.5" customHeight="1">
      <c r="A20" s="253"/>
      <c r="B20" s="148"/>
      <c r="C20" s="146"/>
      <c r="D20" s="148"/>
      <c r="E20" s="148"/>
      <c r="F20" s="148"/>
      <c r="G20" s="641"/>
    </row>
    <row r="21" spans="1:7" ht="16.5" customHeight="1">
      <c r="A21" s="17"/>
      <c r="B21" s="27"/>
      <c r="C21" s="105"/>
      <c r="D21" s="27"/>
      <c r="E21" s="27"/>
      <c r="F21" s="27"/>
    </row>
    <row r="22" spans="1:7" ht="16.5" customHeight="1">
      <c r="A22" s="17"/>
      <c r="B22" s="27"/>
      <c r="C22" s="105"/>
      <c r="D22" s="27"/>
      <c r="E22" s="27"/>
      <c r="F22" s="27"/>
    </row>
    <row r="23" spans="1:7" ht="16.5" customHeight="1">
      <c r="A23" s="17"/>
      <c r="B23" s="27"/>
      <c r="C23" s="105"/>
      <c r="D23" s="27"/>
      <c r="E23" s="27"/>
      <c r="F23" s="27"/>
    </row>
    <row r="24" spans="1:7" ht="16.5" customHeight="1">
      <c r="A24" s="640"/>
      <c r="B24" s="641"/>
      <c r="C24" s="642"/>
    </row>
    <row r="25" spans="1:7" ht="16.5" customHeight="1">
      <c r="A25" s="640"/>
      <c r="B25" s="641"/>
      <c r="C25" s="642"/>
    </row>
    <row r="26" spans="1:7" ht="16.5" customHeight="1">
      <c r="A26" s="214"/>
    </row>
    <row r="27" spans="1:7" ht="16.5" customHeight="1">
      <c r="A27" s="214"/>
    </row>
    <row r="28" spans="1:7" ht="16.5" customHeight="1">
      <c r="A28" s="17"/>
      <c r="B28" s="27"/>
      <c r="C28" s="105"/>
      <c r="D28" s="27"/>
      <c r="E28" s="27"/>
      <c r="F28" s="27"/>
    </row>
    <row r="29" spans="1:7" ht="16.5" customHeight="1">
      <c r="A29" s="17"/>
      <c r="B29" s="27"/>
      <c r="C29" s="105"/>
      <c r="D29" s="27"/>
      <c r="E29" s="27"/>
      <c r="F29" s="27"/>
    </row>
    <row r="30" spans="1:7" ht="18.75" customHeight="1">
      <c r="A30" s="197"/>
      <c r="B30" s="119"/>
      <c r="C30" s="308"/>
      <c r="D30" s="27"/>
      <c r="E30" s="27"/>
      <c r="F30" s="27"/>
    </row>
    <row r="31" spans="1:7" ht="18.75" customHeight="1">
      <c r="A31" s="197"/>
      <c r="B31" s="27"/>
      <c r="C31" s="105"/>
      <c r="D31" s="27"/>
      <c r="E31" s="27"/>
      <c r="F31" s="27"/>
    </row>
    <row r="32" spans="1:7" ht="18.75" customHeight="1">
      <c r="A32" s="197"/>
      <c r="B32" s="27"/>
      <c r="C32" s="105"/>
      <c r="D32" s="27"/>
      <c r="E32" s="27"/>
      <c r="F32" s="27"/>
    </row>
    <row r="33" spans="1:6" ht="18.75" customHeight="1">
      <c r="A33" s="197"/>
      <c r="B33" s="27"/>
      <c r="C33" s="105"/>
      <c r="D33" s="27"/>
      <c r="E33" s="27"/>
      <c r="F33" s="27"/>
    </row>
    <row r="34" spans="1:6" ht="18.75" customHeight="1">
      <c r="A34" s="199"/>
    </row>
    <row r="35" spans="1:6" ht="18.75" customHeight="1">
      <c r="A35" s="104"/>
      <c r="C35" s="104"/>
    </row>
    <row r="36" spans="1:6" ht="18.75" customHeight="1">
      <c r="A36" s="104"/>
      <c r="C36" s="104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G30"/>
  <sheetViews>
    <sheetView workbookViewId="0"/>
  </sheetViews>
  <sheetFormatPr defaultRowHeight="18.75" customHeight="1"/>
  <cols>
    <col min="1" max="1" width="38.28515625" style="105" customWidth="1"/>
    <col min="2" max="2" width="10.42578125" style="47" hidden="1" customWidth="1"/>
    <col min="3" max="3" width="10.42578125" style="27" hidden="1" customWidth="1"/>
    <col min="4" max="7" width="10.42578125" style="27" customWidth="1"/>
    <col min="8" max="16384" width="9.140625" style="27"/>
  </cols>
  <sheetData>
    <row r="1" spans="1:7" s="48" customFormat="1" ht="18.75" customHeight="1">
      <c r="A1" s="230" t="s">
        <v>590</v>
      </c>
      <c r="B1" s="217"/>
      <c r="C1" s="202"/>
      <c r="D1" s="202"/>
      <c r="E1" s="202"/>
      <c r="F1" s="202"/>
      <c r="G1" s="202"/>
    </row>
    <row r="2" spans="1:7" ht="18.75" customHeight="1">
      <c r="A2" s="106"/>
      <c r="B2" s="51"/>
      <c r="C2" s="106"/>
      <c r="D2" s="106"/>
      <c r="E2" s="106"/>
      <c r="F2" s="106"/>
      <c r="G2" s="106"/>
    </row>
    <row r="3" spans="1:7" s="48" customFormat="1" ht="18.75" customHeight="1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>
      <c r="A4" s="109"/>
      <c r="B4" s="109"/>
      <c r="C4" s="109"/>
      <c r="D4" s="109"/>
      <c r="E4" s="109"/>
      <c r="F4" s="109"/>
      <c r="G4" s="109"/>
    </row>
    <row r="5" spans="1:7" s="48" customFormat="1" ht="24.95" customHeight="1">
      <c r="A5" s="43"/>
      <c r="B5" s="210"/>
      <c r="C5" s="210"/>
      <c r="D5" s="210"/>
      <c r="E5" s="210"/>
      <c r="F5" s="210"/>
      <c r="G5" s="210"/>
    </row>
    <row r="6" spans="1:7" ht="24.95" customHeight="1">
      <c r="A6" s="248" t="s">
        <v>64</v>
      </c>
      <c r="B6" s="59">
        <v>2000</v>
      </c>
      <c r="C6" s="59">
        <v>600</v>
      </c>
      <c r="D6" s="59">
        <v>500</v>
      </c>
      <c r="E6" s="59">
        <v>800</v>
      </c>
      <c r="F6" s="59">
        <v>800</v>
      </c>
      <c r="G6" s="59">
        <v>600</v>
      </c>
    </row>
    <row r="7" spans="1:7" ht="24.95" customHeight="1">
      <c r="A7" s="248" t="s">
        <v>65</v>
      </c>
      <c r="B7" s="59">
        <v>4600</v>
      </c>
      <c r="C7" s="59">
        <v>3500</v>
      </c>
      <c r="D7" s="59">
        <v>4000</v>
      </c>
      <c r="E7" s="59">
        <v>2500</v>
      </c>
      <c r="F7" s="59">
        <v>1800</v>
      </c>
      <c r="G7" s="59">
        <v>2000</v>
      </c>
    </row>
    <row r="8" spans="1:7" ht="24.95" customHeight="1">
      <c r="A8" s="53" t="s">
        <v>186</v>
      </c>
      <c r="B8" s="204">
        <v>600</v>
      </c>
      <c r="C8" s="204">
        <v>500</v>
      </c>
      <c r="D8" s="204">
        <v>500</v>
      </c>
      <c r="E8" s="204">
        <v>500</v>
      </c>
      <c r="F8" s="204">
        <v>500</v>
      </c>
      <c r="G8" s="204">
        <v>500</v>
      </c>
    </row>
    <row r="9" spans="1:7" ht="24.95" customHeight="1">
      <c r="A9" s="248" t="s">
        <v>516</v>
      </c>
      <c r="B9" s="59">
        <v>800</v>
      </c>
      <c r="C9" s="59"/>
      <c r="D9" s="59">
        <v>300</v>
      </c>
      <c r="E9" s="59">
        <v>400</v>
      </c>
      <c r="F9" s="59">
        <v>400</v>
      </c>
      <c r="G9" s="59">
        <v>600</v>
      </c>
    </row>
    <row r="10" spans="1:7" ht="24.95" customHeight="1">
      <c r="A10" s="248" t="s">
        <v>404</v>
      </c>
      <c r="B10" s="59"/>
      <c r="C10" s="59">
        <v>600</v>
      </c>
      <c r="D10" s="59"/>
      <c r="E10" s="59"/>
      <c r="F10" s="59"/>
      <c r="G10" s="59"/>
    </row>
    <row r="11" spans="1:7" ht="24.95" customHeight="1">
      <c r="A11" s="327"/>
      <c r="B11" s="59"/>
      <c r="C11" s="59"/>
      <c r="D11" s="59"/>
      <c r="E11" s="59"/>
      <c r="F11" s="59"/>
      <c r="G11" s="59"/>
    </row>
    <row r="12" spans="1:7" ht="24.95" customHeight="1">
      <c r="A12" s="327"/>
      <c r="B12" s="59"/>
      <c r="C12" s="59"/>
      <c r="D12" s="59"/>
      <c r="E12" s="59"/>
      <c r="F12" s="59"/>
      <c r="G12" s="59"/>
    </row>
    <row r="13" spans="1:7" ht="24.95" customHeight="1" thickBot="1">
      <c r="A13" s="403"/>
      <c r="B13" s="261">
        <v>925</v>
      </c>
      <c r="C13" s="261"/>
      <c r="D13" s="261"/>
      <c r="E13" s="261"/>
      <c r="F13" s="261"/>
      <c r="G13" s="261"/>
    </row>
    <row r="14" spans="1:7" ht="24.95" customHeight="1" thickTop="1">
      <c r="A14" s="322" t="s">
        <v>131</v>
      </c>
      <c r="B14" s="342">
        <f t="shared" ref="B14:G14" si="0">SUM(B4:B13)</f>
        <v>8925</v>
      </c>
      <c r="C14" s="342">
        <f t="shared" si="0"/>
        <v>5200</v>
      </c>
      <c r="D14" s="342">
        <f t="shared" si="0"/>
        <v>5300</v>
      </c>
      <c r="E14" s="342">
        <f t="shared" si="0"/>
        <v>4200</v>
      </c>
      <c r="F14" s="342">
        <f t="shared" si="0"/>
        <v>3500</v>
      </c>
      <c r="G14" s="342">
        <f t="shared" si="0"/>
        <v>3700</v>
      </c>
    </row>
    <row r="15" spans="1:7" ht="18.75" customHeight="1">
      <c r="B15" s="47" t="s">
        <v>132</v>
      </c>
    </row>
    <row r="16" spans="1:7" ht="18.75" customHeight="1">
      <c r="A16" s="17"/>
    </row>
    <row r="17" spans="1:1" ht="18.75" customHeight="1">
      <c r="A17" s="17"/>
    </row>
    <row r="18" spans="1:1" ht="18.75" customHeight="1">
      <c r="A18" s="17"/>
    </row>
    <row r="19" spans="1:1" ht="18.75" customHeight="1">
      <c r="A19" s="17"/>
    </row>
    <row r="20" spans="1:1" ht="18.75" customHeight="1">
      <c r="A20" s="17"/>
    </row>
    <row r="21" spans="1:1" ht="18.75" customHeight="1">
      <c r="A21" s="17"/>
    </row>
    <row r="22" spans="1:1" ht="18.75" customHeight="1">
      <c r="A22" s="17"/>
    </row>
    <row r="23" spans="1:1" ht="18.75" customHeight="1">
      <c r="A23" s="17"/>
    </row>
    <row r="24" spans="1:1" ht="18.75" customHeight="1">
      <c r="A24" s="17"/>
    </row>
    <row r="25" spans="1:1" ht="18.75" customHeight="1">
      <c r="A25" s="17"/>
    </row>
    <row r="26" spans="1:1" ht="18.75" customHeight="1">
      <c r="A26" s="17"/>
    </row>
    <row r="27" spans="1:1" ht="18.75" customHeight="1">
      <c r="A27" s="17"/>
    </row>
    <row r="28" spans="1:1" ht="18.75" customHeight="1">
      <c r="A28" s="17"/>
    </row>
    <row r="29" spans="1:1" ht="18.75" customHeight="1">
      <c r="A29" s="17"/>
    </row>
    <row r="30" spans="1:1" ht="18.75" customHeight="1">
      <c r="A30" s="17"/>
    </row>
  </sheetData>
  <sortState ref="A11:E14">
    <sortCondition ref="A11:A14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H31"/>
  <sheetViews>
    <sheetView workbookViewId="0"/>
  </sheetViews>
  <sheetFormatPr defaultRowHeight="14.25"/>
  <cols>
    <col min="1" max="1" width="32.42578125" style="198" bestFit="1" customWidth="1"/>
    <col min="2" max="2" width="10.42578125" style="198" hidden="1" customWidth="1"/>
    <col min="3" max="3" width="10" style="198" hidden="1" customWidth="1"/>
    <col min="4" max="7" width="10.42578125" style="198" customWidth="1"/>
    <col min="8" max="16384" width="9.140625" style="198"/>
  </cols>
  <sheetData>
    <row r="1" spans="1:7" ht="18" customHeight="1">
      <c r="A1" s="230" t="s">
        <v>591</v>
      </c>
      <c r="B1" s="217"/>
      <c r="C1" s="202"/>
      <c r="D1" s="202"/>
      <c r="E1" s="202"/>
      <c r="F1" s="202"/>
      <c r="G1" s="202"/>
    </row>
    <row r="2" spans="1:7" ht="18" customHeight="1">
      <c r="A2" s="106"/>
      <c r="B2" s="51"/>
      <c r="C2" s="106"/>
      <c r="D2" s="106"/>
      <c r="E2" s="106"/>
      <c r="F2" s="106"/>
      <c r="G2" s="106"/>
    </row>
    <row r="3" spans="1:7" ht="18" customHeight="1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ht="18" customHeight="1">
      <c r="A4" s="109"/>
      <c r="B4" s="109"/>
      <c r="C4" s="109"/>
      <c r="D4" s="109"/>
      <c r="E4" s="109"/>
      <c r="F4" s="109"/>
      <c r="G4" s="109"/>
    </row>
    <row r="5" spans="1:7" ht="24.95" hidden="1" customHeight="1">
      <c r="A5" s="57" t="s">
        <v>100</v>
      </c>
      <c r="B5" s="44">
        <v>400</v>
      </c>
      <c r="C5" s="44">
        <v>700</v>
      </c>
      <c r="D5" s="44" t="s">
        <v>530</v>
      </c>
      <c r="E5" s="44" t="s">
        <v>530</v>
      </c>
      <c r="F5" s="44" t="s">
        <v>530</v>
      </c>
      <c r="G5" s="44" t="s">
        <v>530</v>
      </c>
    </row>
    <row r="6" spans="1:7" ht="24.95" customHeight="1">
      <c r="A6" s="57" t="s">
        <v>101</v>
      </c>
      <c r="B6" s="44">
        <v>800</v>
      </c>
      <c r="C6" s="44">
        <v>800</v>
      </c>
      <c r="D6" s="44">
        <v>800</v>
      </c>
      <c r="E6" s="44">
        <v>800</v>
      </c>
      <c r="F6" s="44">
        <v>800</v>
      </c>
      <c r="G6" s="44">
        <v>800</v>
      </c>
    </row>
    <row r="7" spans="1:7" ht="24.95" customHeight="1">
      <c r="A7" s="57" t="s">
        <v>102</v>
      </c>
      <c r="B7" s="44">
        <v>700</v>
      </c>
      <c r="C7" s="44">
        <v>2600</v>
      </c>
      <c r="D7" s="44">
        <f>1700+1825</f>
        <v>3525</v>
      </c>
      <c r="E7" s="44">
        <f>1700+1825</f>
        <v>3525</v>
      </c>
      <c r="F7" s="44">
        <f>1700+1825</f>
        <v>3525</v>
      </c>
      <c r="G7" s="44">
        <f>1700+1825</f>
        <v>3525</v>
      </c>
    </row>
    <row r="8" spans="1:7" ht="24.95" hidden="1" customHeight="1">
      <c r="A8" s="57" t="s">
        <v>103</v>
      </c>
      <c r="B8" s="68">
        <v>250</v>
      </c>
      <c r="C8" s="44" t="s">
        <v>530</v>
      </c>
      <c r="D8" s="44" t="s">
        <v>530</v>
      </c>
      <c r="E8" s="44" t="s">
        <v>530</v>
      </c>
      <c r="F8" s="44" t="s">
        <v>530</v>
      </c>
      <c r="G8" s="44" t="s">
        <v>530</v>
      </c>
    </row>
    <row r="9" spans="1:7" ht="24.95" customHeight="1">
      <c r="A9" s="57" t="s">
        <v>529</v>
      </c>
      <c r="B9" s="68">
        <v>125</v>
      </c>
      <c r="C9" s="44" t="s">
        <v>530</v>
      </c>
      <c r="D9" s="68">
        <f>610+460</f>
        <v>1070</v>
      </c>
      <c r="E9" s="68">
        <f>610+460</f>
        <v>1070</v>
      </c>
      <c r="F9" s="68">
        <f>610+460</f>
        <v>1070</v>
      </c>
      <c r="G9" s="68">
        <f>610+460</f>
        <v>1070</v>
      </c>
    </row>
    <row r="10" spans="1:7" ht="24.95" customHeight="1">
      <c r="A10" s="57" t="s">
        <v>609</v>
      </c>
      <c r="B10" s="68"/>
      <c r="C10" s="44"/>
      <c r="D10" s="68"/>
      <c r="E10" s="209">
        <v>255</v>
      </c>
      <c r="F10" s="209">
        <v>275</v>
      </c>
      <c r="G10" s="209">
        <v>275</v>
      </c>
    </row>
    <row r="11" spans="1:7" ht="24.95" customHeight="1">
      <c r="A11" s="57" t="s">
        <v>443</v>
      </c>
      <c r="B11" s="68">
        <v>1000</v>
      </c>
      <c r="C11" s="68">
        <v>3400</v>
      </c>
      <c r="D11" s="68">
        <f>40*85</f>
        <v>3400</v>
      </c>
      <c r="E11" s="68">
        <f>40*85</f>
        <v>3400</v>
      </c>
      <c r="F11" s="68">
        <f>40*85</f>
        <v>3400</v>
      </c>
      <c r="G11" s="68">
        <f>40*85</f>
        <v>3400</v>
      </c>
    </row>
    <row r="12" spans="1:7" ht="24.95" customHeight="1">
      <c r="A12" s="57" t="s">
        <v>666</v>
      </c>
      <c r="B12" s="68">
        <v>500</v>
      </c>
      <c r="C12" s="68">
        <v>2125</v>
      </c>
      <c r="D12" s="68">
        <f>25*85</f>
        <v>2125</v>
      </c>
      <c r="E12" s="68">
        <f>25*85</f>
        <v>2125</v>
      </c>
      <c r="F12" s="68">
        <f>20*85</f>
        <v>1700</v>
      </c>
      <c r="G12" s="68">
        <f>20*85</f>
        <v>1700</v>
      </c>
    </row>
    <row r="13" spans="1:7" ht="24.95" customHeight="1">
      <c r="A13" s="72" t="s">
        <v>322</v>
      </c>
      <c r="B13" s="115">
        <v>100</v>
      </c>
      <c r="C13" s="115">
        <v>100</v>
      </c>
      <c r="D13" s="115">
        <v>150</v>
      </c>
      <c r="E13" s="115">
        <v>150</v>
      </c>
      <c r="F13" s="115">
        <v>150</v>
      </c>
      <c r="G13" s="115">
        <v>150</v>
      </c>
    </row>
    <row r="14" spans="1:7" ht="24.95" customHeight="1">
      <c r="A14" s="72" t="s">
        <v>321</v>
      </c>
      <c r="B14" s="115"/>
      <c r="C14" s="115">
        <v>60</v>
      </c>
      <c r="D14" s="115"/>
      <c r="E14" s="115">
        <v>60</v>
      </c>
      <c r="F14" s="115">
        <v>60</v>
      </c>
      <c r="G14" s="115">
        <v>60</v>
      </c>
    </row>
    <row r="15" spans="1:7" ht="24.95" customHeight="1">
      <c r="A15" s="72" t="s">
        <v>320</v>
      </c>
      <c r="B15" s="115">
        <v>70</v>
      </c>
      <c r="C15" s="115">
        <v>70</v>
      </c>
      <c r="D15" s="115">
        <v>70</v>
      </c>
      <c r="E15" s="115">
        <v>70</v>
      </c>
      <c r="F15" s="115">
        <v>70</v>
      </c>
      <c r="G15" s="115">
        <v>70</v>
      </c>
    </row>
    <row r="16" spans="1:7" ht="24.95" customHeight="1">
      <c r="A16" s="72" t="s">
        <v>319</v>
      </c>
      <c r="B16" s="115">
        <v>50</v>
      </c>
      <c r="C16" s="115">
        <v>85</v>
      </c>
      <c r="D16" s="115">
        <v>85</v>
      </c>
      <c r="E16" s="115">
        <v>85</v>
      </c>
      <c r="F16" s="115">
        <v>85</v>
      </c>
      <c r="G16" s="115">
        <v>85</v>
      </c>
    </row>
    <row r="17" spans="1:8" ht="24.95" customHeight="1">
      <c r="A17" s="72" t="s">
        <v>476</v>
      </c>
      <c r="B17" s="115"/>
      <c r="C17" s="115">
        <v>66</v>
      </c>
      <c r="D17" s="115">
        <f>70*2</f>
        <v>140</v>
      </c>
      <c r="E17" s="115">
        <f>70*2</f>
        <v>140</v>
      </c>
      <c r="F17" s="115">
        <f>70*2</f>
        <v>140</v>
      </c>
      <c r="G17" s="115">
        <f>70*2</f>
        <v>140</v>
      </c>
      <c r="H17" s="269" t="s">
        <v>518</v>
      </c>
    </row>
    <row r="18" spans="1:8" ht="24.95" customHeight="1">
      <c r="A18" s="72" t="s">
        <v>550</v>
      </c>
      <c r="B18" s="68"/>
      <c r="C18" s="68">
        <v>1500</v>
      </c>
      <c r="D18" s="68">
        <v>1500</v>
      </c>
      <c r="E18" s="68">
        <v>1600</v>
      </c>
      <c r="F18" s="209">
        <v>1600</v>
      </c>
      <c r="G18" s="209">
        <v>1600</v>
      </c>
    </row>
    <row r="19" spans="1:8" ht="24.95" customHeight="1">
      <c r="A19" s="72" t="s">
        <v>525</v>
      </c>
      <c r="B19" s="68"/>
      <c r="C19" s="68"/>
      <c r="D19" s="68">
        <v>275</v>
      </c>
      <c r="E19" s="68">
        <v>300</v>
      </c>
      <c r="F19" s="68">
        <v>300</v>
      </c>
      <c r="G19" s="68">
        <v>300</v>
      </c>
    </row>
    <row r="20" spans="1:8" ht="24.95" customHeight="1">
      <c r="A20" s="72"/>
      <c r="B20" s="68"/>
      <c r="C20" s="68"/>
      <c r="D20" s="68"/>
      <c r="E20" s="68"/>
      <c r="F20" s="68"/>
      <c r="G20" s="68"/>
    </row>
    <row r="21" spans="1:8" ht="24.95" customHeight="1">
      <c r="A21" s="72"/>
      <c r="B21" s="591">
        <v>-1000</v>
      </c>
      <c r="C21" s="591"/>
      <c r="D21" s="591"/>
      <c r="E21" s="591"/>
      <c r="F21" s="591"/>
      <c r="G21" s="591"/>
    </row>
    <row r="22" spans="1:8" ht="24.95" customHeight="1">
      <c r="A22" s="121" t="s">
        <v>181</v>
      </c>
      <c r="B22" s="484">
        <f t="shared" ref="B22:G22" si="0">SUM(B4:B21)</f>
        <v>2995</v>
      </c>
      <c r="C22" s="650">
        <f t="shared" si="0"/>
        <v>11506</v>
      </c>
      <c r="D22" s="650">
        <f t="shared" si="0"/>
        <v>13140</v>
      </c>
      <c r="E22" s="650">
        <f t="shared" si="0"/>
        <v>13580</v>
      </c>
      <c r="F22" s="650">
        <f t="shared" si="0"/>
        <v>13175</v>
      </c>
      <c r="G22" s="650">
        <f t="shared" si="0"/>
        <v>13175</v>
      </c>
    </row>
    <row r="23" spans="1:8" ht="18" customHeight="1">
      <c r="A23" s="119"/>
      <c r="B23" s="119"/>
      <c r="C23" s="119"/>
      <c r="D23" s="119"/>
    </row>
    <row r="24" spans="1:8" ht="18" customHeight="1">
      <c r="A24" s="119" t="s">
        <v>665</v>
      </c>
      <c r="B24" s="119"/>
      <c r="C24" s="119"/>
      <c r="D24" s="119"/>
    </row>
    <row r="25" spans="1:8" ht="18" customHeight="1">
      <c r="A25" s="119"/>
      <c r="B25" s="119"/>
      <c r="C25" s="119"/>
      <c r="D25" s="119"/>
    </row>
    <row r="26" spans="1:8" ht="18" customHeight="1">
      <c r="A26" s="119"/>
      <c r="B26" s="119"/>
      <c r="C26" s="119"/>
      <c r="D26" s="119"/>
    </row>
    <row r="27" spans="1:8" ht="18" customHeight="1">
      <c r="A27" s="119"/>
      <c r="B27" s="119"/>
      <c r="C27" s="119"/>
      <c r="D27" s="119"/>
    </row>
    <row r="28" spans="1:8" ht="18" customHeight="1">
      <c r="A28" s="119"/>
      <c r="B28" s="119"/>
      <c r="C28" s="119"/>
      <c r="D28" s="119"/>
    </row>
    <row r="29" spans="1:8" ht="16.5">
      <c r="A29" s="119"/>
      <c r="B29" s="119"/>
      <c r="C29" s="119"/>
      <c r="D29" s="119"/>
    </row>
    <row r="30" spans="1:8" ht="16.5">
      <c r="A30" s="119"/>
      <c r="B30" s="119"/>
      <c r="C30" s="119"/>
      <c r="D30" s="119"/>
    </row>
    <row r="31" spans="1:8" ht="16.5">
      <c r="A31" s="119"/>
      <c r="B31" s="119"/>
      <c r="C31" s="119"/>
      <c r="D31" s="119"/>
    </row>
  </sheetData>
  <sortState ref="A13:E16">
    <sortCondition ref="A13:A16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G24"/>
  <sheetViews>
    <sheetView workbookViewId="0"/>
  </sheetViews>
  <sheetFormatPr defaultRowHeight="16.5"/>
  <cols>
    <col min="1" max="1" width="33" style="119" customWidth="1"/>
    <col min="2" max="3" width="11.7109375" style="119" hidden="1" customWidth="1"/>
    <col min="4" max="4" width="11.7109375" style="119" customWidth="1"/>
    <col min="5" max="7" width="10.28515625" style="119" customWidth="1"/>
    <col min="8" max="16384" width="9.140625" style="119"/>
  </cols>
  <sheetData>
    <row r="1" spans="1:7" ht="18" customHeight="1">
      <c r="A1" s="230" t="s">
        <v>14</v>
      </c>
      <c r="B1" s="217"/>
      <c r="C1" s="202"/>
      <c r="D1" s="202"/>
      <c r="E1" s="202"/>
      <c r="F1" s="202"/>
      <c r="G1" s="202"/>
    </row>
    <row r="2" spans="1:7" ht="18" customHeight="1">
      <c r="A2" s="106"/>
      <c r="B2" s="51"/>
      <c r="C2" s="106"/>
      <c r="D2" s="106"/>
      <c r="E2" s="106"/>
      <c r="F2" s="106"/>
      <c r="G2" s="106"/>
    </row>
    <row r="3" spans="1:7" ht="18" customHeight="1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ht="18" customHeight="1">
      <c r="A4" s="109"/>
      <c r="B4" s="109"/>
      <c r="C4" s="109"/>
      <c r="D4" s="109"/>
      <c r="E4" s="109"/>
      <c r="F4" s="109"/>
      <c r="G4" s="109"/>
    </row>
    <row r="5" spans="1:7" ht="24.75" customHeight="1">
      <c r="A5" s="123" t="s">
        <v>15</v>
      </c>
      <c r="B5" s="44"/>
      <c r="C5" s="44"/>
      <c r="D5" s="44"/>
      <c r="E5" s="44"/>
      <c r="F5" s="44"/>
      <c r="G5" s="44"/>
    </row>
    <row r="6" spans="1:7" ht="18" customHeight="1">
      <c r="A6" s="57" t="s">
        <v>114</v>
      </c>
      <c r="B6" s="44">
        <v>200</v>
      </c>
      <c r="C6" s="44">
        <v>100</v>
      </c>
      <c r="D6" s="44">
        <v>100</v>
      </c>
      <c r="E6" s="44">
        <v>200</v>
      </c>
      <c r="F6" s="44">
        <v>200</v>
      </c>
      <c r="G6" s="44"/>
    </row>
    <row r="7" spans="1:7" ht="18" customHeight="1">
      <c r="A7" s="57" t="s">
        <v>18</v>
      </c>
      <c r="B7" s="44">
        <v>300</v>
      </c>
      <c r="C7" s="44">
        <v>100</v>
      </c>
      <c r="D7" s="44">
        <v>100</v>
      </c>
      <c r="E7" s="44">
        <v>0</v>
      </c>
      <c r="F7" s="44"/>
      <c r="G7" s="44"/>
    </row>
    <row r="8" spans="1:7" ht="18" customHeight="1">
      <c r="A8" s="57" t="s">
        <v>19</v>
      </c>
      <c r="B8" s="44">
        <v>200</v>
      </c>
      <c r="C8" s="44">
        <v>100</v>
      </c>
      <c r="D8" s="44">
        <v>100</v>
      </c>
      <c r="E8" s="44">
        <v>100</v>
      </c>
      <c r="F8" s="44">
        <v>100</v>
      </c>
      <c r="G8" s="44">
        <v>400</v>
      </c>
    </row>
    <row r="9" spans="1:7" ht="18" customHeight="1">
      <c r="A9" s="57"/>
      <c r="B9" s="44">
        <v>1400</v>
      </c>
      <c r="C9" s="44"/>
      <c r="D9" s="44"/>
      <c r="E9" s="44"/>
      <c r="F9" s="44"/>
      <c r="G9" s="44"/>
    </row>
    <row r="10" spans="1:7" ht="27.75" hidden="1" customHeight="1">
      <c r="A10" s="124" t="s">
        <v>20</v>
      </c>
      <c r="B10" s="44"/>
      <c r="C10" s="44"/>
      <c r="D10" s="44"/>
      <c r="E10" s="44"/>
      <c r="F10" s="44"/>
      <c r="G10" s="44"/>
    </row>
    <row r="11" spans="1:7" ht="18" hidden="1" customHeight="1">
      <c r="A11" s="57" t="s">
        <v>21</v>
      </c>
      <c r="B11" s="68"/>
      <c r="C11" s="68"/>
      <c r="D11" s="68"/>
      <c r="E11" s="68"/>
      <c r="F11" s="68"/>
      <c r="G11" s="68"/>
    </row>
    <row r="12" spans="1:7" ht="18" hidden="1" customHeight="1">
      <c r="A12" s="592" t="s">
        <v>444</v>
      </c>
      <c r="B12" s="68">
        <v>1000</v>
      </c>
      <c r="C12" s="68"/>
      <c r="D12" s="68"/>
      <c r="E12" s="68"/>
      <c r="F12" s="68"/>
      <c r="G12" s="68"/>
    </row>
    <row r="13" spans="1:7" ht="18" customHeight="1">
      <c r="A13" s="592"/>
      <c r="B13" s="68"/>
      <c r="C13" s="68"/>
      <c r="D13" s="68"/>
      <c r="E13" s="68"/>
      <c r="F13" s="68"/>
      <c r="G13" s="68"/>
    </row>
    <row r="14" spans="1:7" ht="18" customHeight="1">
      <c r="A14" s="57"/>
      <c r="B14" s="68"/>
      <c r="C14" s="68"/>
      <c r="D14" s="68"/>
      <c r="E14" s="68"/>
      <c r="F14" s="68"/>
      <c r="G14" s="68"/>
    </row>
    <row r="15" spans="1:7" ht="18" customHeight="1">
      <c r="A15" s="57"/>
      <c r="B15" s="115"/>
      <c r="C15" s="115"/>
      <c r="D15" s="115"/>
      <c r="E15" s="115"/>
      <c r="F15" s="115"/>
      <c r="G15" s="115"/>
    </row>
    <row r="16" spans="1:7" ht="18" customHeight="1">
      <c r="A16" s="57"/>
      <c r="B16" s="115"/>
      <c r="C16" s="115"/>
      <c r="D16" s="115"/>
      <c r="E16" s="115"/>
      <c r="F16" s="115"/>
      <c r="G16" s="115"/>
    </row>
    <row r="17" spans="1:7" ht="18" customHeight="1" thickBot="1">
      <c r="A17" s="518"/>
      <c r="B17" s="115">
        <v>-3076.78</v>
      </c>
      <c r="C17" s="115">
        <v>-550</v>
      </c>
      <c r="D17" s="115"/>
      <c r="E17" s="115"/>
      <c r="F17" s="115"/>
      <c r="G17" s="115"/>
    </row>
    <row r="18" spans="1:7" ht="18" customHeight="1" thickTop="1">
      <c r="A18" s="121" t="s">
        <v>181</v>
      </c>
      <c r="B18" s="120">
        <f t="shared" ref="B18:G18" si="0">SUM(B4:B17)</f>
        <v>23.2199999999998</v>
      </c>
      <c r="C18" s="120">
        <f t="shared" si="0"/>
        <v>-250</v>
      </c>
      <c r="D18" s="120">
        <f t="shared" si="0"/>
        <v>300</v>
      </c>
      <c r="E18" s="120">
        <f t="shared" si="0"/>
        <v>300</v>
      </c>
      <c r="F18" s="120">
        <f t="shared" si="0"/>
        <v>300</v>
      </c>
      <c r="G18" s="120">
        <f t="shared" si="0"/>
        <v>400</v>
      </c>
    </row>
    <row r="19" spans="1:7" ht="18" customHeight="1"/>
    <row r="20" spans="1:7" ht="18" customHeight="1"/>
    <row r="21" spans="1:7" ht="18" customHeight="1"/>
    <row r="22" spans="1:7" ht="18" customHeight="1"/>
    <row r="23" spans="1:7" ht="18" customHeight="1"/>
    <row r="24" spans="1:7" ht="18" customHeight="1"/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42.5703125" style="105" customWidth="1"/>
    <col min="2" max="2" width="10.7109375" style="28" hidden="1" customWidth="1"/>
    <col min="3" max="3" width="10.7109375" style="27" hidden="1" customWidth="1"/>
    <col min="4" max="7" width="10.7109375" style="27" customWidth="1"/>
    <col min="8" max="16384" width="9.140625" style="27"/>
  </cols>
  <sheetData>
    <row r="1" spans="1:7" s="48" customFormat="1" ht="18.75" customHeight="1">
      <c r="A1" s="230" t="s">
        <v>213</v>
      </c>
      <c r="B1" s="220"/>
      <c r="C1" s="220"/>
      <c r="D1" s="220"/>
      <c r="E1" s="220"/>
      <c r="F1" s="220"/>
      <c r="G1" s="220"/>
    </row>
    <row r="2" spans="1:7" ht="18.75" customHeight="1">
      <c r="A2" s="106"/>
      <c r="B2" s="51"/>
      <c r="C2" s="51"/>
      <c r="D2" s="51"/>
      <c r="E2" s="51"/>
      <c r="F2" s="51"/>
      <c r="G2" s="51"/>
    </row>
    <row r="3" spans="1:7" s="48" customFormat="1" ht="18.75" customHeight="1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8.75" customHeight="1">
      <c r="A4" s="109"/>
      <c r="B4" s="236"/>
      <c r="C4" s="236"/>
      <c r="D4" s="236"/>
      <c r="E4" s="236"/>
      <c r="F4" s="236"/>
      <c r="G4" s="236"/>
    </row>
    <row r="5" spans="1:7" s="131" customFormat="1" ht="18.75" customHeight="1">
      <c r="A5" s="69" t="s">
        <v>138</v>
      </c>
      <c r="B5" s="215">
        <v>2000</v>
      </c>
      <c r="C5" s="215">
        <v>5000</v>
      </c>
      <c r="D5" s="215">
        <v>6000</v>
      </c>
      <c r="E5" s="215">
        <v>6000</v>
      </c>
      <c r="F5" s="215">
        <v>6000</v>
      </c>
      <c r="G5" s="215">
        <v>7000</v>
      </c>
    </row>
    <row r="6" spans="1:7" s="131" customFormat="1" ht="18.75" customHeight="1">
      <c r="A6" s="69" t="s">
        <v>617</v>
      </c>
      <c r="B6" s="215">
        <v>4000</v>
      </c>
      <c r="C6" s="215">
        <v>4600</v>
      </c>
      <c r="D6" s="244">
        <f>(199*2*2)+(646*2*3)</f>
        <v>4672</v>
      </c>
      <c r="E6" s="244">
        <f>(199*2*2)+(646*2*3)+2000</f>
        <v>6672</v>
      </c>
      <c r="F6" s="244">
        <v>7000</v>
      </c>
      <c r="G6" s="244">
        <v>7000</v>
      </c>
    </row>
    <row r="7" spans="1:7" s="131" customFormat="1" ht="18.75" customHeight="1">
      <c r="A7" s="69" t="s">
        <v>139</v>
      </c>
      <c r="B7" s="215">
        <v>800</v>
      </c>
      <c r="C7" s="215">
        <v>850</v>
      </c>
      <c r="D7" s="244">
        <f>(95*4*2)+80</f>
        <v>840</v>
      </c>
      <c r="E7" s="244">
        <f>(175*4)+100</f>
        <v>800</v>
      </c>
      <c r="F7" s="244">
        <f>(95*4)+(80*4)+200</f>
        <v>900</v>
      </c>
      <c r="G7" s="244">
        <f>(95*4)+(80*4)+200</f>
        <v>900</v>
      </c>
    </row>
    <row r="8" spans="1:7" s="131" customFormat="1" ht="18.75" hidden="1" customHeight="1">
      <c r="A8" s="250" t="s">
        <v>233</v>
      </c>
      <c r="B8" s="343">
        <v>8000</v>
      </c>
      <c r="C8" s="343">
        <v>8100</v>
      </c>
      <c r="D8" s="343">
        <f>(660*12)</f>
        <v>7920</v>
      </c>
      <c r="E8" s="343">
        <v>0</v>
      </c>
      <c r="F8" s="343"/>
      <c r="G8" s="343"/>
    </row>
    <row r="9" spans="1:7" s="131" customFormat="1" ht="18.75" customHeight="1">
      <c r="A9" s="248" t="s">
        <v>42</v>
      </c>
      <c r="B9" s="215">
        <v>50</v>
      </c>
      <c r="C9" s="215">
        <v>100</v>
      </c>
      <c r="D9" s="215">
        <v>250</v>
      </c>
      <c r="E9" s="215">
        <v>500</v>
      </c>
      <c r="F9" s="215">
        <v>500</v>
      </c>
      <c r="G9" s="215">
        <v>500</v>
      </c>
    </row>
    <row r="10" spans="1:7" s="131" customFormat="1" ht="18.75" customHeight="1">
      <c r="A10" s="69" t="s">
        <v>618</v>
      </c>
      <c r="B10" s="215">
        <v>750</v>
      </c>
      <c r="C10" s="215">
        <v>500</v>
      </c>
      <c r="D10" s="215">
        <v>6000</v>
      </c>
      <c r="E10" s="215">
        <v>1200</v>
      </c>
      <c r="F10" s="215">
        <v>1200</v>
      </c>
      <c r="G10" s="215">
        <v>600</v>
      </c>
    </row>
    <row r="11" spans="1:7" s="131" customFormat="1" ht="18.75" customHeight="1">
      <c r="A11" s="69" t="s">
        <v>140</v>
      </c>
      <c r="B11" s="215">
        <v>3000</v>
      </c>
      <c r="C11" s="215">
        <v>9000</v>
      </c>
      <c r="D11" s="215">
        <v>10000</v>
      </c>
      <c r="E11" s="215">
        <v>10000</v>
      </c>
      <c r="F11" s="215">
        <v>10000</v>
      </c>
      <c r="G11" s="215">
        <v>17000</v>
      </c>
    </row>
    <row r="12" spans="1:7" s="131" customFormat="1" ht="18.75" customHeight="1">
      <c r="A12" s="69" t="s">
        <v>137</v>
      </c>
      <c r="B12" s="215">
        <v>3000</v>
      </c>
      <c r="C12" s="215">
        <v>8000</v>
      </c>
      <c r="D12" s="215">
        <v>8000</v>
      </c>
      <c r="E12" s="215">
        <v>8000</v>
      </c>
      <c r="F12" s="215">
        <v>8000</v>
      </c>
      <c r="G12" s="215">
        <v>8000</v>
      </c>
    </row>
    <row r="13" spans="1:7" s="131" customFormat="1" ht="18.75" hidden="1" customHeight="1">
      <c r="A13" s="250" t="s">
        <v>273</v>
      </c>
      <c r="B13" s="344">
        <v>1200</v>
      </c>
      <c r="C13" s="344">
        <v>1800</v>
      </c>
      <c r="D13" s="344">
        <f>150*12</f>
        <v>1800</v>
      </c>
      <c r="E13" s="344">
        <v>0</v>
      </c>
      <c r="F13" s="344"/>
      <c r="G13" s="344"/>
    </row>
    <row r="14" spans="1:7" ht="18" customHeight="1">
      <c r="A14" s="251" t="s">
        <v>531</v>
      </c>
      <c r="B14" s="244">
        <v>800</v>
      </c>
      <c r="C14" s="244">
        <v>720</v>
      </c>
      <c r="D14" s="244">
        <f>(30*2*12)</f>
        <v>720</v>
      </c>
      <c r="E14" s="244">
        <f>(25*2*12)</f>
        <v>600</v>
      </c>
      <c r="F14" s="244">
        <v>600</v>
      </c>
      <c r="G14" s="244">
        <v>600</v>
      </c>
    </row>
    <row r="15" spans="1:7" ht="18.75" customHeight="1">
      <c r="A15" s="250" t="s">
        <v>323</v>
      </c>
      <c r="B15" s="343">
        <v>625</v>
      </c>
      <c r="C15" s="343">
        <v>625</v>
      </c>
      <c r="D15" s="343">
        <v>650</v>
      </c>
      <c r="E15" s="343">
        <v>625</v>
      </c>
      <c r="F15" s="343">
        <v>700</v>
      </c>
      <c r="G15" s="343">
        <v>700</v>
      </c>
    </row>
    <row r="16" spans="1:7" ht="18.75" customHeight="1">
      <c r="A16" s="270" t="s">
        <v>593</v>
      </c>
      <c r="B16" s="345"/>
      <c r="C16" s="345">
        <v>2000</v>
      </c>
      <c r="D16" s="345">
        <v>2000</v>
      </c>
      <c r="E16" s="345">
        <v>6000</v>
      </c>
      <c r="F16" s="345">
        <v>1200</v>
      </c>
      <c r="G16" s="345">
        <v>1200</v>
      </c>
    </row>
    <row r="17" spans="1:7" ht="18.75" customHeight="1">
      <c r="A17" s="270" t="s">
        <v>445</v>
      </c>
      <c r="B17" s="345"/>
      <c r="C17" s="345">
        <v>1200</v>
      </c>
      <c r="D17" s="345">
        <v>1500</v>
      </c>
      <c r="E17" s="345">
        <v>1500</v>
      </c>
      <c r="F17" s="345">
        <v>1500</v>
      </c>
      <c r="G17" s="345">
        <v>1500</v>
      </c>
    </row>
    <row r="18" spans="1:7" ht="18.75" hidden="1" customHeight="1">
      <c r="A18" s="270" t="s">
        <v>446</v>
      </c>
      <c r="B18" s="345"/>
      <c r="C18" s="345">
        <v>0</v>
      </c>
      <c r="D18" s="345">
        <v>0</v>
      </c>
      <c r="E18" s="345">
        <v>0</v>
      </c>
      <c r="F18" s="345"/>
      <c r="G18" s="345"/>
    </row>
    <row r="19" spans="1:7" ht="18.75" hidden="1" customHeight="1">
      <c r="A19" s="270" t="s">
        <v>447</v>
      </c>
      <c r="B19" s="345"/>
      <c r="C19" s="345">
        <v>0</v>
      </c>
      <c r="D19" s="345">
        <v>0</v>
      </c>
      <c r="E19" s="345">
        <v>0</v>
      </c>
      <c r="F19" s="345"/>
      <c r="G19" s="345"/>
    </row>
    <row r="20" spans="1:7" ht="18.75" hidden="1" customHeight="1">
      <c r="A20" s="270" t="s">
        <v>621</v>
      </c>
      <c r="B20" s="593"/>
      <c r="C20" s="343">
        <v>0</v>
      </c>
      <c r="D20" s="343">
        <f>300*18</f>
        <v>5400</v>
      </c>
      <c r="E20" s="343">
        <f>1200*8</f>
        <v>9600</v>
      </c>
      <c r="F20" s="343"/>
      <c r="G20" s="343"/>
    </row>
    <row r="21" spans="1:7" ht="18.75" customHeight="1">
      <c r="A21" s="270" t="s">
        <v>619</v>
      </c>
      <c r="B21" s="593"/>
      <c r="C21" s="343">
        <v>0</v>
      </c>
      <c r="D21" s="343">
        <v>0</v>
      </c>
      <c r="E21" s="343">
        <f>550+500</f>
        <v>1050</v>
      </c>
      <c r="F21" s="343">
        <v>1100</v>
      </c>
      <c r="G21" s="343"/>
    </row>
    <row r="22" spans="1:7" ht="18.75" customHeight="1">
      <c r="A22" s="270" t="s">
        <v>551</v>
      </c>
      <c r="B22" s="593"/>
      <c r="C22" s="343">
        <v>0</v>
      </c>
      <c r="D22" s="343">
        <v>0</v>
      </c>
      <c r="E22" s="343">
        <f>500+564</f>
        <v>1064</v>
      </c>
      <c r="F22" s="343">
        <v>1100</v>
      </c>
      <c r="G22" s="343"/>
    </row>
    <row r="23" spans="1:7" ht="18.75" customHeight="1">
      <c r="A23" s="270" t="s">
        <v>592</v>
      </c>
      <c r="B23" s="593"/>
      <c r="C23" s="343"/>
      <c r="D23" s="343"/>
      <c r="E23" s="343">
        <v>12000</v>
      </c>
      <c r="F23" s="343">
        <v>16000</v>
      </c>
      <c r="G23" s="343">
        <v>16000</v>
      </c>
    </row>
    <row r="24" spans="1:7" ht="18.75" customHeight="1">
      <c r="A24" s="270" t="s">
        <v>620</v>
      </c>
      <c r="B24" s="593"/>
      <c r="C24" s="343"/>
      <c r="D24" s="343"/>
      <c r="E24" s="343">
        <f>300*4</f>
        <v>1200</v>
      </c>
      <c r="F24" s="343">
        <v>1200</v>
      </c>
      <c r="G24" s="343">
        <v>1200</v>
      </c>
    </row>
    <row r="25" spans="1:7" ht="18.75" customHeight="1">
      <c r="A25" s="270" t="s">
        <v>645</v>
      </c>
      <c r="B25" s="819"/>
      <c r="C25" s="345"/>
      <c r="D25" s="345"/>
      <c r="E25" s="345"/>
      <c r="F25" s="345">
        <v>20000</v>
      </c>
      <c r="G25" s="345"/>
    </row>
    <row r="26" spans="1:7" ht="18.75" customHeight="1">
      <c r="A26" s="270" t="s">
        <v>667</v>
      </c>
      <c r="B26" s="819"/>
      <c r="C26" s="345"/>
      <c r="D26" s="345"/>
      <c r="E26" s="345"/>
      <c r="F26" s="345">
        <v>1800</v>
      </c>
      <c r="G26" s="345"/>
    </row>
    <row r="27" spans="1:7" ht="18.75" customHeight="1">
      <c r="A27" s="270" t="s">
        <v>710</v>
      </c>
      <c r="B27" s="819"/>
      <c r="C27" s="345"/>
      <c r="D27" s="345"/>
      <c r="E27" s="345"/>
      <c r="F27" s="345">
        <v>3600</v>
      </c>
      <c r="G27" s="345">
        <v>30000</v>
      </c>
    </row>
    <row r="28" spans="1:7" ht="18.75" customHeight="1">
      <c r="A28" s="270" t="s">
        <v>647</v>
      </c>
      <c r="B28" s="819"/>
      <c r="C28" s="345"/>
      <c r="D28" s="345"/>
      <c r="E28" s="345"/>
      <c r="F28" s="345">
        <v>5000</v>
      </c>
      <c r="G28" s="345">
        <v>5000</v>
      </c>
    </row>
    <row r="29" spans="1:7" ht="18.75" customHeight="1">
      <c r="A29" s="270" t="s">
        <v>732</v>
      </c>
      <c r="B29" s="819"/>
      <c r="C29" s="345"/>
      <c r="D29" s="345"/>
      <c r="E29" s="345"/>
      <c r="F29" s="345"/>
      <c r="G29" s="345">
        <v>5000</v>
      </c>
    </row>
    <row r="30" spans="1:7" ht="18.75" customHeight="1" thickBot="1">
      <c r="A30" s="270"/>
      <c r="B30" s="594">
        <v>4500</v>
      </c>
      <c r="C30" s="595"/>
      <c r="D30" s="595"/>
      <c r="E30" s="595"/>
      <c r="F30" s="595"/>
      <c r="G30" s="595"/>
    </row>
    <row r="31" spans="1:7" ht="18.75" customHeight="1" thickTop="1">
      <c r="A31" s="111" t="s">
        <v>131</v>
      </c>
      <c r="B31" s="346">
        <f t="shared" ref="B31:D31" si="0">SUM(B4:B30)</f>
        <v>28725</v>
      </c>
      <c r="C31" s="346">
        <f t="shared" si="0"/>
        <v>42495</v>
      </c>
      <c r="D31" s="346">
        <f t="shared" si="0"/>
        <v>55752</v>
      </c>
      <c r="E31" s="346">
        <f>SUM(E4:E30)</f>
        <v>66811</v>
      </c>
      <c r="F31" s="346">
        <f>SUM(F4:F30)</f>
        <v>87400</v>
      </c>
      <c r="G31" s="346">
        <f>SUM(G4:G30)</f>
        <v>102200</v>
      </c>
    </row>
    <row r="32" spans="1:7" s="48" customFormat="1" ht="18.75" customHeight="1">
      <c r="A32" s="119"/>
      <c r="B32" s="119"/>
    </row>
    <row r="33" spans="1:2" ht="18.75" customHeight="1">
      <c r="A33" s="119"/>
      <c r="B33" s="119"/>
    </row>
    <row r="34" spans="1:2" ht="18.75" customHeight="1">
      <c r="A34" s="119"/>
      <c r="B34" s="119"/>
    </row>
    <row r="35" spans="1:2" ht="18.75" customHeight="1">
      <c r="A35" s="119"/>
      <c r="B35" s="119"/>
    </row>
    <row r="36" spans="1:2" ht="18.75" customHeight="1">
      <c r="A36" s="119"/>
      <c r="B36" s="119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3.85546875" style="14" customWidth="1"/>
    <col min="2" max="2" width="11" style="15" hidden="1" customWidth="1"/>
    <col min="3" max="3" width="11" style="104" hidden="1" customWidth="1"/>
    <col min="4" max="7" width="11" style="104" customWidth="1"/>
    <col min="8" max="16384" width="9.140625" style="104"/>
  </cols>
  <sheetData>
    <row r="1" spans="1:7" s="194" customFormat="1" ht="18.75" customHeight="1">
      <c r="A1" s="230" t="s">
        <v>594</v>
      </c>
      <c r="B1" s="217"/>
      <c r="C1" s="217"/>
      <c r="D1" s="217"/>
      <c r="E1" s="217"/>
      <c r="F1" s="217"/>
      <c r="G1" s="217"/>
    </row>
    <row r="2" spans="1:7" ht="18.75" customHeight="1">
      <c r="A2" s="106"/>
      <c r="B2" s="51"/>
      <c r="C2" s="51"/>
      <c r="D2" s="51"/>
      <c r="E2" s="51"/>
      <c r="F2" s="51"/>
      <c r="G2" s="51"/>
    </row>
    <row r="3" spans="1:7" s="194" customFormat="1" ht="18.75" customHeight="1">
      <c r="A3" s="677" t="s">
        <v>133</v>
      </c>
      <c r="B3" s="678">
        <v>2010</v>
      </c>
      <c r="C3" s="678">
        <v>2013</v>
      </c>
      <c r="D3" s="678">
        <v>2014</v>
      </c>
      <c r="E3" s="678">
        <v>2015</v>
      </c>
      <c r="F3" s="678">
        <v>2016</v>
      </c>
      <c r="G3" s="678">
        <v>2017</v>
      </c>
    </row>
    <row r="4" spans="1:7" s="194" customFormat="1" ht="18.75" customHeight="1">
      <c r="A4" s="675"/>
      <c r="B4" s="676"/>
      <c r="C4" s="676"/>
      <c r="D4" s="676"/>
      <c r="E4" s="676"/>
      <c r="F4" s="676"/>
      <c r="G4" s="676"/>
    </row>
    <row r="5" spans="1:7" s="194" customFormat="1" ht="18.75" customHeight="1">
      <c r="A5" s="69" t="s">
        <v>706</v>
      </c>
      <c r="B5" s="51">
        <v>100</v>
      </c>
      <c r="C5" s="51">
        <v>200</v>
      </c>
      <c r="D5" s="51">
        <v>200</v>
      </c>
      <c r="E5" s="51">
        <v>200</v>
      </c>
      <c r="F5" s="51">
        <v>200</v>
      </c>
      <c r="G5" s="51">
        <v>200</v>
      </c>
    </row>
    <row r="6" spans="1:7" s="194" customFormat="1" ht="18.75" customHeight="1">
      <c r="A6" s="69" t="s">
        <v>189</v>
      </c>
      <c r="B6" s="51">
        <v>1000</v>
      </c>
      <c r="C6" s="51">
        <v>600</v>
      </c>
      <c r="D6" s="51">
        <v>600</v>
      </c>
      <c r="E6" s="51">
        <v>600</v>
      </c>
      <c r="F6" s="51">
        <v>600</v>
      </c>
      <c r="G6" s="51">
        <v>600</v>
      </c>
    </row>
    <row r="7" spans="1:7" s="194" customFormat="1" ht="18.75" customHeight="1">
      <c r="A7" s="69" t="s">
        <v>191</v>
      </c>
      <c r="B7" s="51">
        <v>300</v>
      </c>
      <c r="C7" s="51">
        <v>500</v>
      </c>
      <c r="D7" s="51">
        <v>600</v>
      </c>
      <c r="E7" s="51">
        <v>600</v>
      </c>
      <c r="F7" s="51">
        <v>600</v>
      </c>
      <c r="G7" s="51">
        <v>800</v>
      </c>
    </row>
    <row r="8" spans="1:7" s="194" customFormat="1" ht="18.75" customHeight="1">
      <c r="A8" s="118" t="s">
        <v>49</v>
      </c>
      <c r="B8" s="51">
        <v>6900</v>
      </c>
      <c r="C8" s="51">
        <v>2400</v>
      </c>
      <c r="D8" s="51">
        <f>2400+600+600</f>
        <v>3600</v>
      </c>
      <c r="E8" s="51">
        <f>(176.9*2*12)</f>
        <v>4245.6000000000004</v>
      </c>
      <c r="F8" s="51">
        <f>(176.9*2*12)</f>
        <v>4245.6000000000004</v>
      </c>
      <c r="G8" s="51">
        <f>(176.9*2*12)</f>
        <v>4245.6000000000004</v>
      </c>
    </row>
    <row r="9" spans="1:7" s="194" customFormat="1" ht="18.75" customHeight="1">
      <c r="A9" s="69" t="s">
        <v>188</v>
      </c>
      <c r="B9" s="51">
        <v>600</v>
      </c>
      <c r="C9" s="51">
        <v>500</v>
      </c>
      <c r="D9" s="51">
        <v>600</v>
      </c>
      <c r="E9" s="51">
        <v>600</v>
      </c>
      <c r="F9" s="51">
        <v>700</v>
      </c>
      <c r="G9" s="51">
        <v>800</v>
      </c>
    </row>
    <row r="10" spans="1:7" ht="18.75" customHeight="1">
      <c r="A10" s="69" t="s">
        <v>187</v>
      </c>
      <c r="B10" s="51">
        <v>100</v>
      </c>
      <c r="C10" s="51">
        <v>100</v>
      </c>
      <c r="D10" s="51">
        <v>100</v>
      </c>
      <c r="E10" s="51">
        <v>100</v>
      </c>
      <c r="F10" s="51">
        <v>150</v>
      </c>
      <c r="G10" s="51">
        <v>150</v>
      </c>
    </row>
    <row r="11" spans="1:7" ht="18.75" customHeight="1">
      <c r="A11" s="69" t="s">
        <v>707</v>
      </c>
      <c r="B11" s="51">
        <v>2200</v>
      </c>
      <c r="C11" s="51">
        <v>1500</v>
      </c>
      <c r="D11" s="51">
        <v>1600</v>
      </c>
      <c r="E11" s="51">
        <v>1600</v>
      </c>
      <c r="F11" s="51">
        <v>1600</v>
      </c>
      <c r="G11" s="51">
        <v>1600</v>
      </c>
    </row>
    <row r="12" spans="1:7" ht="18.75" customHeight="1">
      <c r="A12" s="69" t="s">
        <v>190</v>
      </c>
      <c r="B12" s="51">
        <v>500</v>
      </c>
      <c r="C12" s="51">
        <v>300</v>
      </c>
      <c r="D12" s="51">
        <v>250</v>
      </c>
      <c r="E12" s="51">
        <v>200</v>
      </c>
      <c r="F12" s="51">
        <v>200</v>
      </c>
      <c r="G12" s="51">
        <v>250</v>
      </c>
    </row>
    <row r="13" spans="1:7" ht="18.75" customHeight="1">
      <c r="A13" s="69" t="s">
        <v>708</v>
      </c>
      <c r="B13" s="51"/>
      <c r="C13" s="51">
        <v>750</v>
      </c>
      <c r="D13" s="51">
        <v>700</v>
      </c>
      <c r="E13" s="51">
        <v>700</v>
      </c>
      <c r="F13" s="51">
        <v>700</v>
      </c>
      <c r="G13" s="51">
        <v>700</v>
      </c>
    </row>
    <row r="14" spans="1:7" ht="18.75" customHeight="1">
      <c r="A14" s="69" t="s">
        <v>709</v>
      </c>
      <c r="B14" s="51"/>
      <c r="C14" s="51">
        <v>750</v>
      </c>
      <c r="D14" s="51">
        <f>750+800</f>
        <v>1550</v>
      </c>
      <c r="E14" s="51">
        <v>1600</v>
      </c>
      <c r="F14" s="51">
        <v>1600</v>
      </c>
      <c r="G14" s="51">
        <v>1600</v>
      </c>
    </row>
    <row r="15" spans="1:7" ht="18.75" customHeight="1">
      <c r="A15" s="58"/>
      <c r="B15" s="51"/>
      <c r="C15" s="51"/>
      <c r="D15" s="51"/>
      <c r="E15" s="51"/>
      <c r="F15" s="51"/>
      <c r="G15" s="51"/>
    </row>
    <row r="16" spans="1:7" ht="18.75" customHeight="1">
      <c r="A16" s="58"/>
      <c r="B16" s="51"/>
      <c r="C16" s="51"/>
      <c r="D16" s="51"/>
      <c r="E16" s="51"/>
      <c r="F16" s="51"/>
      <c r="G16" s="51"/>
    </row>
    <row r="17" spans="1:7" ht="18.75" customHeight="1">
      <c r="A17" s="58"/>
      <c r="B17" s="110"/>
      <c r="C17" s="110"/>
      <c r="D17" s="110"/>
      <c r="E17" s="110"/>
      <c r="F17" s="110"/>
      <c r="G17" s="110"/>
    </row>
    <row r="18" spans="1:7" ht="18.75" customHeight="1">
      <c r="A18" s="58"/>
      <c r="B18" s="110"/>
      <c r="C18" s="110"/>
      <c r="D18" s="110"/>
      <c r="E18" s="110"/>
      <c r="F18" s="110"/>
      <c r="G18" s="110"/>
    </row>
    <row r="19" spans="1:7" ht="18.75" customHeight="1" thickBot="1">
      <c r="A19" s="58"/>
      <c r="B19" s="110">
        <v>-3400</v>
      </c>
      <c r="C19" s="110"/>
      <c r="D19" s="110"/>
      <c r="E19" s="110"/>
      <c r="F19" s="110"/>
      <c r="G19" s="110"/>
    </row>
    <row r="20" spans="1:7" ht="18.75" customHeight="1" thickTop="1">
      <c r="A20" s="111" t="s">
        <v>131</v>
      </c>
      <c r="B20" s="97">
        <f t="shared" ref="B20:G20" si="0">SUM(B4:B19)</f>
        <v>8300</v>
      </c>
      <c r="C20" s="97">
        <f t="shared" si="0"/>
        <v>7600</v>
      </c>
      <c r="D20" s="97">
        <f t="shared" si="0"/>
        <v>9800</v>
      </c>
      <c r="E20" s="97">
        <f t="shared" si="0"/>
        <v>10445.6</v>
      </c>
      <c r="F20" s="97">
        <f t="shared" si="0"/>
        <v>10595.6</v>
      </c>
      <c r="G20" s="97">
        <f t="shared" si="0"/>
        <v>10945.6</v>
      </c>
    </row>
    <row r="21" spans="1:7" ht="18.75" customHeight="1">
      <c r="A21" s="105"/>
      <c r="B21" s="47"/>
      <c r="C21" s="27"/>
    </row>
    <row r="22" spans="1:7" ht="18.75" customHeight="1">
      <c r="A22" s="105"/>
      <c r="B22" s="47"/>
      <c r="C22" s="27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2.140625" style="105" customWidth="1"/>
    <col min="2" max="2" width="10.7109375" style="47" hidden="1" customWidth="1"/>
    <col min="3" max="3" width="10.7109375" style="27" hidden="1" customWidth="1"/>
    <col min="4" max="7" width="10.7109375" style="27" customWidth="1"/>
    <col min="8" max="16384" width="9.140625" style="27"/>
  </cols>
  <sheetData>
    <row r="1" spans="1:7" s="48" customFormat="1" ht="18.75" customHeight="1">
      <c r="A1" s="230" t="s">
        <v>595</v>
      </c>
      <c r="B1" s="217"/>
      <c r="C1" s="202"/>
      <c r="D1" s="202"/>
      <c r="E1" s="202"/>
      <c r="F1" s="202"/>
      <c r="G1" s="202"/>
    </row>
    <row r="2" spans="1:7" ht="18.75" customHeight="1">
      <c r="A2" s="106"/>
      <c r="B2" s="51"/>
      <c r="C2" s="106"/>
      <c r="D2" s="106"/>
      <c r="E2" s="106"/>
      <c r="F2" s="106"/>
      <c r="G2" s="106"/>
    </row>
    <row r="3" spans="1:7" s="48" customFormat="1" ht="18.75" customHeight="1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>
      <c r="A4" s="125"/>
      <c r="B4" s="125"/>
      <c r="C4" s="125"/>
      <c r="D4" s="125"/>
      <c r="E4" s="125"/>
      <c r="F4" s="125"/>
      <c r="G4" s="125"/>
    </row>
    <row r="5" spans="1:7" s="131" customFormat="1" ht="24.95" customHeight="1">
      <c r="A5" s="69" t="s">
        <v>542</v>
      </c>
      <c r="B5" s="204">
        <v>4500</v>
      </c>
      <c r="C5" s="204">
        <v>3000</v>
      </c>
      <c r="D5" s="204">
        <v>3200</v>
      </c>
      <c r="E5" s="204">
        <v>2600</v>
      </c>
      <c r="F5" s="204">
        <v>2600</v>
      </c>
      <c r="G5" s="204">
        <v>2600</v>
      </c>
    </row>
    <row r="6" spans="1:7" s="131" customFormat="1" ht="24.95" customHeight="1">
      <c r="A6" s="69" t="s">
        <v>543</v>
      </c>
      <c r="B6" s="204">
        <v>200</v>
      </c>
      <c r="C6" s="204">
        <v>200</v>
      </c>
      <c r="D6" s="204">
        <v>300</v>
      </c>
      <c r="E6" s="204">
        <v>300</v>
      </c>
      <c r="F6" s="204">
        <v>300</v>
      </c>
      <c r="G6" s="204">
        <v>300</v>
      </c>
    </row>
    <row r="7" spans="1:7" s="252" customFormat="1" ht="24.95" customHeight="1">
      <c r="A7" s="128" t="s">
        <v>668</v>
      </c>
      <c r="B7" s="204">
        <v>3500</v>
      </c>
      <c r="C7" s="204">
        <v>5000</v>
      </c>
      <c r="D7" s="204">
        <v>5000</v>
      </c>
      <c r="E7" s="204">
        <v>3500</v>
      </c>
      <c r="F7" s="204">
        <v>3800</v>
      </c>
      <c r="G7" s="204">
        <v>3800</v>
      </c>
    </row>
    <row r="8" spans="1:7" ht="24.95" customHeight="1">
      <c r="A8" s="69" t="s">
        <v>6</v>
      </c>
      <c r="B8" s="59">
        <v>600</v>
      </c>
      <c r="C8" s="59">
        <v>500</v>
      </c>
      <c r="D8" s="59">
        <v>600</v>
      </c>
      <c r="E8" s="59">
        <v>600</v>
      </c>
      <c r="F8" s="59">
        <v>600</v>
      </c>
      <c r="G8" s="59">
        <v>600</v>
      </c>
    </row>
    <row r="9" spans="1:7" ht="24.95" customHeight="1">
      <c r="A9" s="77" t="s">
        <v>545</v>
      </c>
      <c r="B9" s="59">
        <v>140</v>
      </c>
      <c r="C9" s="59">
        <v>500</v>
      </c>
      <c r="D9" s="59">
        <v>500</v>
      </c>
      <c r="E9" s="59">
        <v>400</v>
      </c>
      <c r="F9" s="59">
        <v>400</v>
      </c>
      <c r="G9" s="59">
        <v>400</v>
      </c>
    </row>
    <row r="10" spans="1:7" ht="24.95" customHeight="1">
      <c r="A10" s="69" t="s">
        <v>324</v>
      </c>
      <c r="B10" s="59">
        <v>450</v>
      </c>
      <c r="C10" s="59">
        <v>500</v>
      </c>
      <c r="D10" s="59">
        <v>600</v>
      </c>
      <c r="E10" s="59">
        <v>600</v>
      </c>
      <c r="F10" s="59">
        <v>600</v>
      </c>
      <c r="G10" s="59">
        <v>600</v>
      </c>
    </row>
    <row r="11" spans="1:7" ht="24.95" customHeight="1">
      <c r="A11" s="69" t="s">
        <v>370</v>
      </c>
      <c r="B11" s="59">
        <v>200</v>
      </c>
      <c r="C11" s="59">
        <v>300</v>
      </c>
      <c r="D11" s="59">
        <v>350</v>
      </c>
      <c r="E11" s="59">
        <v>350</v>
      </c>
      <c r="F11" s="59">
        <v>350</v>
      </c>
      <c r="G11" s="59">
        <v>350</v>
      </c>
    </row>
    <row r="12" spans="1:7" ht="24.95" customHeight="1">
      <c r="A12" s="69" t="s">
        <v>544</v>
      </c>
      <c r="B12" s="59"/>
      <c r="C12" s="59"/>
      <c r="D12" s="59"/>
      <c r="E12" s="63">
        <v>2000</v>
      </c>
      <c r="F12" s="63">
        <v>2250</v>
      </c>
      <c r="G12" s="63">
        <v>2250</v>
      </c>
    </row>
    <row r="13" spans="1:7" ht="24.95" customHeight="1">
      <c r="A13" s="69"/>
      <c r="B13" s="59"/>
      <c r="C13" s="59"/>
      <c r="D13" s="59"/>
      <c r="E13" s="59"/>
      <c r="F13" s="59"/>
      <c r="G13" s="59"/>
    </row>
    <row r="14" spans="1:7" ht="24.95" customHeight="1">
      <c r="A14" s="612"/>
      <c r="B14" s="59"/>
      <c r="C14" s="59"/>
      <c r="D14" s="59"/>
      <c r="E14" s="59"/>
      <c r="F14" s="59"/>
      <c r="G14" s="59"/>
    </row>
    <row r="15" spans="1:7" ht="24.95" customHeight="1" thickBot="1">
      <c r="A15" s="605"/>
      <c r="B15" s="303">
        <v>-2000</v>
      </c>
      <c r="C15" s="303"/>
      <c r="D15" s="303"/>
      <c r="E15" s="303"/>
      <c r="F15" s="303"/>
      <c r="G15" s="303"/>
    </row>
    <row r="16" spans="1:7" s="48" customFormat="1" ht="24.95" customHeight="1" thickTop="1">
      <c r="A16" s="111" t="s">
        <v>131</v>
      </c>
      <c r="B16" s="216">
        <f t="shared" ref="B16:G16" si="0">SUM(B4:B15)</f>
        <v>7590</v>
      </c>
      <c r="C16" s="216">
        <f t="shared" si="0"/>
        <v>10000</v>
      </c>
      <c r="D16" s="216">
        <f t="shared" si="0"/>
        <v>10550</v>
      </c>
      <c r="E16" s="216">
        <f t="shared" si="0"/>
        <v>10350</v>
      </c>
      <c r="F16" s="216">
        <f t="shared" si="0"/>
        <v>10900</v>
      </c>
      <c r="G16" s="216">
        <f t="shared" si="0"/>
        <v>10900</v>
      </c>
    </row>
    <row r="18" spans="1:1" ht="18.75" customHeight="1">
      <c r="A18" s="146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G18"/>
  <sheetViews>
    <sheetView workbookViewId="0"/>
  </sheetViews>
  <sheetFormatPr defaultRowHeight="18.75" customHeight="1"/>
  <cols>
    <col min="1" max="1" width="35.28515625" style="105" customWidth="1"/>
    <col min="2" max="2" width="10.7109375" style="47" hidden="1" customWidth="1"/>
    <col min="3" max="3" width="10.7109375" style="27" hidden="1" customWidth="1"/>
    <col min="4" max="7" width="10.7109375" style="27" customWidth="1"/>
    <col min="8" max="16384" width="9.140625" style="27"/>
  </cols>
  <sheetData>
    <row r="1" spans="1:7" s="48" customFormat="1" ht="18.75" customHeight="1">
      <c r="A1" s="230" t="s">
        <v>596</v>
      </c>
      <c r="B1" s="217"/>
      <c r="C1" s="217"/>
      <c r="D1" s="217"/>
      <c r="E1" s="217"/>
      <c r="F1" s="217"/>
      <c r="G1" s="217"/>
    </row>
    <row r="2" spans="1:7" ht="18.75" customHeight="1">
      <c r="A2" s="106"/>
      <c r="B2" s="51"/>
      <c r="C2" s="51"/>
      <c r="D2" s="51"/>
      <c r="E2" s="51"/>
      <c r="F2" s="51"/>
      <c r="G2" s="51"/>
    </row>
    <row r="3" spans="1:7" s="48" customFormat="1" ht="18.75" customHeight="1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8.75" customHeight="1">
      <c r="A4" s="109"/>
      <c r="B4" s="236"/>
      <c r="C4" s="236"/>
      <c r="D4" s="236"/>
      <c r="E4" s="236"/>
      <c r="F4" s="236"/>
      <c r="G4" s="236"/>
    </row>
    <row r="5" spans="1:7" s="48" customFormat="1" ht="18.75" customHeight="1">
      <c r="A5" s="69"/>
      <c r="B5" s="36"/>
      <c r="C5" s="36"/>
      <c r="D5" s="36"/>
      <c r="E5" s="36"/>
      <c r="F5" s="36"/>
      <c r="G5" s="36"/>
    </row>
    <row r="6" spans="1:7" s="48" customFormat="1" ht="18.75" customHeight="1">
      <c r="A6" s="248" t="s">
        <v>475</v>
      </c>
      <c r="B6" s="300">
        <v>210</v>
      </c>
      <c r="C6" s="300">
        <v>320</v>
      </c>
      <c r="D6" s="343">
        <v>320</v>
      </c>
      <c r="E6" s="343">
        <v>300</v>
      </c>
      <c r="F6" s="343">
        <v>300</v>
      </c>
      <c r="G6" s="343">
        <v>300</v>
      </c>
    </row>
    <row r="7" spans="1:7" s="48" customFormat="1" ht="18.75" customHeight="1">
      <c r="A7" s="248" t="s">
        <v>185</v>
      </c>
      <c r="B7" s="300">
        <v>70</v>
      </c>
      <c r="C7" s="300">
        <v>45</v>
      </c>
      <c r="D7" s="343">
        <v>45</v>
      </c>
      <c r="E7" s="343">
        <v>45</v>
      </c>
      <c r="F7" s="343">
        <v>45</v>
      </c>
      <c r="G7" s="343">
        <v>45</v>
      </c>
    </row>
    <row r="8" spans="1:7" s="48" customFormat="1" ht="18.75" customHeight="1">
      <c r="A8" s="248" t="s">
        <v>746</v>
      </c>
      <c r="B8" s="300">
        <v>1000</v>
      </c>
      <c r="C8" s="300">
        <v>1000</v>
      </c>
      <c r="D8" s="343">
        <v>1500</v>
      </c>
      <c r="E8" s="343">
        <f>500+750+1500</f>
        <v>2750</v>
      </c>
      <c r="F8" s="343">
        <v>3100</v>
      </c>
      <c r="G8" s="343">
        <v>750</v>
      </c>
    </row>
    <row r="9" spans="1:7" s="48" customFormat="1" ht="18.75" customHeight="1">
      <c r="A9" s="132"/>
      <c r="B9" s="300"/>
      <c r="C9" s="300"/>
      <c r="D9" s="300"/>
      <c r="E9" s="300"/>
      <c r="F9" s="300"/>
      <c r="G9" s="300"/>
    </row>
    <row r="10" spans="1:7" ht="18.75" customHeight="1">
      <c r="A10" s="132"/>
      <c r="B10" s="300"/>
      <c r="C10" s="300"/>
      <c r="D10" s="300"/>
      <c r="E10" s="300"/>
      <c r="F10" s="300"/>
      <c r="G10" s="300"/>
    </row>
    <row r="11" spans="1:7" ht="18.75" customHeight="1">
      <c r="A11" s="106"/>
      <c r="B11" s="300"/>
      <c r="C11" s="300"/>
      <c r="D11" s="300"/>
      <c r="E11" s="300"/>
      <c r="F11" s="300"/>
      <c r="G11" s="300"/>
    </row>
    <row r="12" spans="1:7" ht="18.75" customHeight="1" thickBot="1">
      <c r="A12" s="58"/>
      <c r="B12" s="302">
        <v>-75</v>
      </c>
      <c r="C12" s="302"/>
      <c r="D12" s="302"/>
      <c r="E12" s="302"/>
      <c r="F12" s="302"/>
      <c r="G12" s="302"/>
    </row>
    <row r="13" spans="1:7" s="48" customFormat="1" ht="18.75" customHeight="1" thickTop="1">
      <c r="A13" s="111" t="s">
        <v>131</v>
      </c>
      <c r="B13" s="346">
        <f t="shared" ref="B13:G13" si="0">SUM(B4:B12)</f>
        <v>1205</v>
      </c>
      <c r="C13" s="346">
        <f t="shared" si="0"/>
        <v>1365</v>
      </c>
      <c r="D13" s="346">
        <f t="shared" si="0"/>
        <v>1865</v>
      </c>
      <c r="E13" s="346">
        <f t="shared" si="0"/>
        <v>3095</v>
      </c>
      <c r="F13" s="346">
        <f t="shared" si="0"/>
        <v>3445</v>
      </c>
      <c r="G13" s="346">
        <f t="shared" si="0"/>
        <v>1095</v>
      </c>
    </row>
    <row r="15" spans="1:7" ht="18.75" customHeight="1">
      <c r="A15" s="253"/>
      <c r="B15" s="147"/>
    </row>
    <row r="16" spans="1:7" ht="18.75" customHeight="1">
      <c r="A16" s="253"/>
      <c r="B16" s="147"/>
    </row>
    <row r="17" spans="1:1" ht="18.75" customHeight="1">
      <c r="A17" s="17"/>
    </row>
    <row r="18" spans="1:1" ht="18.75" customHeight="1">
      <c r="A18" s="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L28"/>
  <sheetViews>
    <sheetView workbookViewId="0"/>
  </sheetViews>
  <sheetFormatPr defaultRowHeight="18.75" customHeight="1"/>
  <cols>
    <col min="1" max="1" width="34.7109375" style="105" bestFit="1" customWidth="1"/>
    <col min="2" max="2" width="10.42578125" style="47" hidden="1" customWidth="1"/>
    <col min="3" max="3" width="10.42578125" style="27" hidden="1" customWidth="1"/>
    <col min="4" max="7" width="10.42578125" style="27" customWidth="1"/>
    <col min="8" max="16384" width="9.140625" style="27"/>
  </cols>
  <sheetData>
    <row r="1" spans="1:12" s="48" customFormat="1" ht="18.75" customHeight="1">
      <c r="A1" s="230" t="s">
        <v>597</v>
      </c>
      <c r="B1" s="217"/>
      <c r="C1" s="217"/>
      <c r="D1" s="217"/>
      <c r="E1" s="217"/>
      <c r="F1" s="217"/>
      <c r="G1" s="217"/>
    </row>
    <row r="2" spans="1:12" ht="18.75" customHeight="1">
      <c r="A2" s="106"/>
      <c r="B2" s="51"/>
      <c r="C2" s="51"/>
      <c r="D2" s="51"/>
      <c r="E2" s="51"/>
      <c r="F2" s="51"/>
      <c r="G2" s="51"/>
    </row>
    <row r="3" spans="1:12" s="48" customFormat="1" ht="18.75" customHeight="1">
      <c r="A3" s="112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12" s="131" customFormat="1" ht="11.25" customHeight="1">
      <c r="A4" s="57"/>
      <c r="B4" s="126"/>
      <c r="C4" s="126"/>
      <c r="D4" s="126"/>
      <c r="E4" s="126"/>
      <c r="F4" s="126"/>
      <c r="G4" s="126"/>
    </row>
    <row r="5" spans="1:12" s="48" customFormat="1" ht="18" customHeight="1">
      <c r="A5" s="53" t="s">
        <v>163</v>
      </c>
      <c r="B5" s="62">
        <v>75</v>
      </c>
      <c r="C5" s="62">
        <v>200</v>
      </c>
      <c r="D5" s="62">
        <v>200</v>
      </c>
      <c r="E5" s="62">
        <v>200</v>
      </c>
      <c r="F5" s="62">
        <v>300</v>
      </c>
      <c r="G5" s="62">
        <f>200*3</f>
        <v>600</v>
      </c>
      <c r="H5" s="100" t="s">
        <v>659</v>
      </c>
    </row>
    <row r="6" spans="1:12" ht="18" customHeight="1">
      <c r="A6" s="60" t="s">
        <v>517</v>
      </c>
      <c r="B6" s="596">
        <v>200</v>
      </c>
      <c r="C6" s="596">
        <v>200</v>
      </c>
      <c r="D6" s="596">
        <v>200</v>
      </c>
      <c r="E6" s="596">
        <v>200</v>
      </c>
      <c r="F6" s="596">
        <v>200</v>
      </c>
      <c r="G6" s="596">
        <v>200</v>
      </c>
      <c r="H6" s="100"/>
    </row>
    <row r="7" spans="1:12" ht="18" hidden="1" customHeight="1">
      <c r="A7" s="53" t="s">
        <v>401</v>
      </c>
      <c r="B7" s="62"/>
      <c r="C7" s="62">
        <v>30</v>
      </c>
      <c r="D7" s="62">
        <v>30</v>
      </c>
      <c r="E7" s="795"/>
      <c r="F7" s="795"/>
      <c r="G7" s="795"/>
      <c r="H7" s="100" t="s">
        <v>380</v>
      </c>
    </row>
    <row r="8" spans="1:12" ht="18" hidden="1" customHeight="1">
      <c r="A8" s="248" t="s">
        <v>83</v>
      </c>
      <c r="B8" s="62">
        <v>100</v>
      </c>
      <c r="C8" s="62">
        <v>125</v>
      </c>
      <c r="D8" s="62">
        <v>125</v>
      </c>
      <c r="E8" s="795"/>
      <c r="F8" s="795"/>
      <c r="G8" s="795"/>
      <c r="H8" s="100" t="s">
        <v>380</v>
      </c>
    </row>
    <row r="9" spans="1:12" ht="18" hidden="1" customHeight="1">
      <c r="A9" s="53" t="s">
        <v>29</v>
      </c>
      <c r="B9" s="62">
        <v>75</v>
      </c>
      <c r="C9" s="62">
        <v>75</v>
      </c>
      <c r="D9" s="62">
        <v>75</v>
      </c>
      <c r="E9" s="795"/>
      <c r="F9" s="795"/>
      <c r="G9" s="795"/>
      <c r="H9" s="100" t="s">
        <v>380</v>
      </c>
      <c r="I9" s="119"/>
      <c r="J9" s="119"/>
      <c r="K9" s="119"/>
      <c r="L9" s="119"/>
    </row>
    <row r="10" spans="1:12" ht="18" customHeight="1">
      <c r="A10" s="248" t="s">
        <v>555</v>
      </c>
      <c r="B10" s="215">
        <v>440</v>
      </c>
      <c r="C10" s="215">
        <v>234</v>
      </c>
      <c r="D10" s="215">
        <v>234</v>
      </c>
      <c r="E10" s="244">
        <v>234</v>
      </c>
      <c r="F10" s="244">
        <v>275</v>
      </c>
      <c r="G10" s="244">
        <v>289</v>
      </c>
      <c r="H10" s="100" t="s">
        <v>477</v>
      </c>
    </row>
    <row r="11" spans="1:12" ht="18" customHeight="1">
      <c r="A11" s="53" t="s">
        <v>339</v>
      </c>
      <c r="B11" s="62">
        <v>200</v>
      </c>
      <c r="C11" s="62">
        <v>200</v>
      </c>
      <c r="D11" s="62">
        <v>200</v>
      </c>
      <c r="E11" s="795">
        <v>200</v>
      </c>
      <c r="F11" s="795">
        <v>200</v>
      </c>
      <c r="G11" s="795">
        <v>200</v>
      </c>
      <c r="H11" s="100"/>
    </row>
    <row r="12" spans="1:12" ht="18" customHeight="1">
      <c r="A12" s="53" t="s">
        <v>448</v>
      </c>
      <c r="B12" s="62"/>
      <c r="C12" s="62">
        <v>85</v>
      </c>
      <c r="D12" s="62">
        <v>85</v>
      </c>
      <c r="E12" s="795">
        <v>90</v>
      </c>
      <c r="F12" s="795">
        <v>90</v>
      </c>
      <c r="G12" s="795">
        <v>90</v>
      </c>
      <c r="H12" s="100" t="s">
        <v>449</v>
      </c>
    </row>
    <row r="13" spans="1:12" ht="18" customHeight="1">
      <c r="A13" s="53" t="s">
        <v>610</v>
      </c>
      <c r="B13" s="62">
        <v>150</v>
      </c>
      <c r="C13" s="62">
        <v>165</v>
      </c>
      <c r="D13" s="62">
        <v>1165</v>
      </c>
      <c r="E13" s="795">
        <v>1165</v>
      </c>
      <c r="F13" s="795">
        <v>165</v>
      </c>
      <c r="G13" s="795">
        <v>165</v>
      </c>
      <c r="H13" s="100"/>
    </row>
    <row r="14" spans="1:12" ht="18" customHeight="1">
      <c r="A14" s="53" t="s">
        <v>398</v>
      </c>
      <c r="B14" s="62"/>
      <c r="C14" s="62">
        <v>350</v>
      </c>
      <c r="D14" s="62">
        <v>350</v>
      </c>
      <c r="E14" s="795">
        <v>350</v>
      </c>
      <c r="F14" s="795">
        <v>500</v>
      </c>
      <c r="G14" s="795">
        <v>500</v>
      </c>
      <c r="H14" s="100" t="s">
        <v>660</v>
      </c>
    </row>
    <row r="15" spans="1:12" ht="18" customHeight="1">
      <c r="A15" s="53" t="s">
        <v>325</v>
      </c>
      <c r="B15" s="62">
        <v>1000</v>
      </c>
      <c r="C15" s="62">
        <v>1000</v>
      </c>
      <c r="D15" s="62">
        <v>1000</v>
      </c>
      <c r="E15" s="795">
        <v>1100</v>
      </c>
      <c r="F15" s="795">
        <v>1250</v>
      </c>
      <c r="G15" s="795">
        <v>1250</v>
      </c>
      <c r="H15" s="100"/>
    </row>
    <row r="16" spans="1:12" ht="18" customHeight="1">
      <c r="A16" s="53" t="s">
        <v>661</v>
      </c>
      <c r="B16" s="62">
        <v>175</v>
      </c>
      <c r="C16" s="62">
        <v>105</v>
      </c>
      <c r="D16" s="62">
        <f>4*35</f>
        <v>140</v>
      </c>
      <c r="E16" s="795">
        <f>4*35</f>
        <v>140</v>
      </c>
      <c r="F16" s="795">
        <f>(5*55)+55</f>
        <v>330</v>
      </c>
      <c r="G16" s="795">
        <f>(5*55)+((4*55)+110)</f>
        <v>605</v>
      </c>
      <c r="H16" s="347"/>
    </row>
    <row r="17" spans="1:9" ht="22.5" customHeight="1">
      <c r="A17" s="306" t="s">
        <v>258</v>
      </c>
      <c r="B17" s="62">
        <v>75</v>
      </c>
      <c r="C17" s="62">
        <v>75</v>
      </c>
      <c r="D17" s="62">
        <v>75</v>
      </c>
      <c r="E17" s="795">
        <v>75</v>
      </c>
      <c r="F17" s="795">
        <v>75</v>
      </c>
      <c r="G17" s="795">
        <v>75</v>
      </c>
      <c r="H17" s="100"/>
    </row>
    <row r="18" spans="1:9" ht="18" customHeight="1">
      <c r="A18" s="306" t="s">
        <v>48</v>
      </c>
      <c r="B18" s="62">
        <v>100</v>
      </c>
      <c r="C18" s="62">
        <v>200</v>
      </c>
      <c r="D18" s="62">
        <v>200</v>
      </c>
      <c r="E18" s="795">
        <v>200</v>
      </c>
      <c r="F18" s="795">
        <v>300</v>
      </c>
      <c r="G18" s="795">
        <f>150+(100*2)</f>
        <v>350</v>
      </c>
      <c r="H18" s="100" t="s">
        <v>659</v>
      </c>
    </row>
    <row r="19" spans="1:9" ht="18" hidden="1" customHeight="1">
      <c r="A19" s="306" t="s">
        <v>556</v>
      </c>
      <c r="B19" s="62"/>
      <c r="C19" s="62">
        <v>22</v>
      </c>
      <c r="D19" s="62">
        <v>22</v>
      </c>
      <c r="E19" s="795"/>
      <c r="F19" s="795"/>
      <c r="G19" s="795"/>
      <c r="H19" s="100" t="s">
        <v>380</v>
      </c>
    </row>
    <row r="20" spans="1:9" ht="18" customHeight="1">
      <c r="A20" s="306" t="s">
        <v>554</v>
      </c>
      <c r="B20" s="62"/>
      <c r="C20" s="62"/>
      <c r="D20" s="62"/>
      <c r="E20" s="795">
        <v>50</v>
      </c>
      <c r="F20" s="795">
        <v>50</v>
      </c>
      <c r="G20" s="795">
        <v>75</v>
      </c>
      <c r="H20" s="100" t="s">
        <v>477</v>
      </c>
      <c r="I20" s="148"/>
    </row>
    <row r="21" spans="1:9" ht="18" customHeight="1">
      <c r="A21" s="306"/>
      <c r="B21" s="62"/>
      <c r="C21" s="62"/>
      <c r="D21" s="62"/>
      <c r="E21" s="795"/>
      <c r="F21" s="795"/>
      <c r="G21" s="795"/>
      <c r="H21" s="100"/>
    </row>
    <row r="22" spans="1:9" ht="18" customHeight="1">
      <c r="A22" s="306"/>
      <c r="B22" s="62"/>
      <c r="C22" s="62"/>
      <c r="D22" s="62"/>
      <c r="E22" s="795"/>
      <c r="F22" s="795"/>
      <c r="G22" s="795"/>
      <c r="H22" s="100"/>
    </row>
    <row r="23" spans="1:9" ht="18" customHeight="1">
      <c r="A23" s="686"/>
      <c r="B23" s="316">
        <v>-700</v>
      </c>
      <c r="C23" s="316"/>
      <c r="D23" s="316"/>
      <c r="E23" s="796"/>
      <c r="F23" s="796"/>
      <c r="G23" s="796"/>
      <c r="H23" s="100"/>
    </row>
    <row r="24" spans="1:9" ht="18" customHeight="1">
      <c r="A24" s="333" t="s">
        <v>131</v>
      </c>
      <c r="B24" s="348">
        <f>SUM(B4:B23)</f>
        <v>1890</v>
      </c>
      <c r="C24" s="348">
        <f>SUM(C4:C23)</f>
        <v>3066</v>
      </c>
      <c r="D24" s="348">
        <f>SUM(D4:D23)</f>
        <v>4101</v>
      </c>
      <c r="E24" s="348">
        <f>SUM(E5:E23)</f>
        <v>4004</v>
      </c>
      <c r="F24" s="348">
        <f>SUM(F5:F23)</f>
        <v>3735</v>
      </c>
      <c r="G24" s="348">
        <f>SUM(G5:G23)</f>
        <v>4399</v>
      </c>
      <c r="H24" s="266"/>
    </row>
    <row r="25" spans="1:9" s="48" customFormat="1" ht="22.5" customHeight="1">
      <c r="A25" s="105"/>
      <c r="B25" s="47"/>
      <c r="C25" s="27"/>
      <c r="D25" s="27"/>
      <c r="E25" s="27"/>
      <c r="F25" s="27"/>
      <c r="G25" s="27"/>
      <c r="H25" s="27"/>
    </row>
    <row r="26" spans="1:9" ht="18.75" customHeight="1">
      <c r="A26" s="17"/>
    </row>
    <row r="27" spans="1:9" ht="18.75" customHeight="1">
      <c r="A27" s="254"/>
    </row>
    <row r="28" spans="1:9" ht="18.75" customHeight="1">
      <c r="A28" s="254"/>
    </row>
  </sheetData>
  <sortState ref="A5:F25">
    <sortCondition ref="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H108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6.85546875" style="105" customWidth="1"/>
    <col min="2" max="2" width="11.7109375" style="47" hidden="1" customWidth="1"/>
    <col min="3" max="3" width="11.7109375" style="27" hidden="1" customWidth="1"/>
    <col min="4" max="4" width="11.7109375" style="27" customWidth="1"/>
    <col min="5" max="7" width="11.42578125" style="27" customWidth="1"/>
    <col min="8" max="16384" width="9.140625" style="27"/>
  </cols>
  <sheetData>
    <row r="1" spans="1:8" s="211" customFormat="1" ht="18.75" customHeight="1">
      <c r="A1" s="230" t="s">
        <v>599</v>
      </c>
      <c r="B1" s="217"/>
      <c r="C1" s="217"/>
      <c r="D1" s="217"/>
      <c r="E1" s="217"/>
      <c r="F1" s="217"/>
      <c r="G1" s="217"/>
    </row>
    <row r="2" spans="1:8" ht="12.75" customHeight="1">
      <c r="A2" s="106"/>
      <c r="B2" s="51"/>
      <c r="C2" s="51"/>
      <c r="D2" s="51"/>
      <c r="E2" s="51"/>
      <c r="F2" s="51"/>
      <c r="G2" s="51"/>
    </row>
    <row r="3" spans="1:8" s="48" customFormat="1" ht="18.75" customHeight="1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  <c r="H3" s="119"/>
    </row>
    <row r="4" spans="1:8" s="131" customFormat="1" ht="18.75" customHeight="1">
      <c r="A4" s="109"/>
      <c r="B4" s="138"/>
      <c r="C4" s="138"/>
      <c r="D4" s="138"/>
      <c r="E4" s="138"/>
      <c r="F4" s="138"/>
      <c r="G4" s="138"/>
      <c r="H4" s="119"/>
    </row>
    <row r="5" spans="1:8" ht="18" customHeight="1">
      <c r="A5" s="176" t="s">
        <v>0</v>
      </c>
      <c r="B5" s="113">
        <v>300</v>
      </c>
      <c r="C5" s="113">
        <v>500</v>
      </c>
      <c r="D5" s="113">
        <v>500</v>
      </c>
      <c r="E5" s="113">
        <v>500</v>
      </c>
      <c r="F5" s="113">
        <v>500</v>
      </c>
      <c r="G5" s="113">
        <v>0</v>
      </c>
      <c r="H5" s="119"/>
    </row>
    <row r="6" spans="1:8" ht="18" customHeight="1">
      <c r="A6" s="176" t="s">
        <v>547</v>
      </c>
      <c r="B6" s="113">
        <v>300</v>
      </c>
      <c r="C6" s="113">
        <v>250</v>
      </c>
      <c r="D6" s="113">
        <v>0</v>
      </c>
      <c r="E6" s="113">
        <f>50*12</f>
        <v>600</v>
      </c>
      <c r="F6" s="113">
        <f>75*12</f>
        <v>900</v>
      </c>
      <c r="G6" s="113">
        <f>50*12</f>
        <v>600</v>
      </c>
      <c r="H6" s="119"/>
    </row>
    <row r="7" spans="1:8" ht="18" customHeight="1">
      <c r="A7" s="450" t="s">
        <v>611</v>
      </c>
      <c r="B7" s="451">
        <v>15000</v>
      </c>
      <c r="C7" s="451">
        <v>7200</v>
      </c>
      <c r="D7" s="451">
        <v>7500</v>
      </c>
      <c r="E7" s="451">
        <v>7500</v>
      </c>
      <c r="F7" s="451">
        <v>0</v>
      </c>
      <c r="G7" s="451">
        <v>0</v>
      </c>
      <c r="H7" s="119"/>
    </row>
    <row r="8" spans="1:8" ht="18" customHeight="1">
      <c r="A8" s="176" t="s">
        <v>598</v>
      </c>
      <c r="B8" s="113">
        <v>850</v>
      </c>
      <c r="C8" s="113">
        <v>900</v>
      </c>
      <c r="D8" s="113">
        <v>1000</v>
      </c>
      <c r="E8" s="113">
        <v>895</v>
      </c>
      <c r="F8" s="113">
        <v>950</v>
      </c>
      <c r="G8" s="113">
        <v>1000</v>
      </c>
      <c r="H8" s="119"/>
    </row>
    <row r="9" spans="1:8" ht="18" customHeight="1">
      <c r="A9" s="450" t="s">
        <v>520</v>
      </c>
      <c r="B9" s="451"/>
      <c r="C9" s="451">
        <v>2400</v>
      </c>
      <c r="D9" s="70">
        <f>60*75</f>
        <v>4500</v>
      </c>
      <c r="E9" s="70">
        <f>60*75</f>
        <v>4500</v>
      </c>
      <c r="F9" s="70">
        <f>66*75</f>
        <v>4950</v>
      </c>
      <c r="G9" s="70">
        <f>66*75</f>
        <v>4950</v>
      </c>
      <c r="H9" s="119"/>
    </row>
    <row r="10" spans="1:8" ht="18" customHeight="1">
      <c r="A10" s="71" t="s">
        <v>1</v>
      </c>
      <c r="B10" s="113">
        <v>200</v>
      </c>
      <c r="C10" s="113">
        <v>400</v>
      </c>
      <c r="D10" s="113">
        <v>500</v>
      </c>
      <c r="E10" s="113">
        <v>500</v>
      </c>
      <c r="F10" s="113">
        <v>450</v>
      </c>
      <c r="G10" s="113">
        <v>1000</v>
      </c>
      <c r="H10" s="119"/>
    </row>
    <row r="11" spans="1:8" ht="18" customHeight="1">
      <c r="A11" s="71" t="s">
        <v>548</v>
      </c>
      <c r="B11" s="113">
        <v>1000</v>
      </c>
      <c r="C11" s="113">
        <v>2500</v>
      </c>
      <c r="D11" s="113">
        <v>1500</v>
      </c>
      <c r="E11" s="113">
        <f>650*2</f>
        <v>1300</v>
      </c>
      <c r="F11" s="113">
        <f>650*3</f>
        <v>1950</v>
      </c>
      <c r="G11" s="113">
        <f>675*6</f>
        <v>4050</v>
      </c>
      <c r="H11" s="119"/>
    </row>
    <row r="12" spans="1:8" ht="18" customHeight="1">
      <c r="A12" s="450" t="s">
        <v>456</v>
      </c>
      <c r="B12" s="451"/>
      <c r="C12" s="451">
        <v>250</v>
      </c>
      <c r="D12" s="451">
        <v>300</v>
      </c>
      <c r="E12" s="451">
        <v>300</v>
      </c>
      <c r="F12" s="451">
        <v>300</v>
      </c>
      <c r="G12" s="451">
        <v>300</v>
      </c>
      <c r="H12" s="119"/>
    </row>
    <row r="13" spans="1:8" ht="18" customHeight="1">
      <c r="A13" s="71" t="s">
        <v>454</v>
      </c>
      <c r="B13" s="113">
        <v>1000</v>
      </c>
      <c r="C13" s="113">
        <v>200</v>
      </c>
      <c r="D13" s="113">
        <v>2500</v>
      </c>
      <c r="E13" s="113">
        <v>2500</v>
      </c>
      <c r="F13" s="113">
        <v>2500</v>
      </c>
      <c r="G13" s="113">
        <v>2500</v>
      </c>
      <c r="H13" s="119"/>
    </row>
    <row r="14" spans="1:8" ht="18" customHeight="1">
      <c r="A14" s="71" t="s">
        <v>455</v>
      </c>
      <c r="B14" s="113">
        <v>500</v>
      </c>
      <c r="C14" s="113">
        <v>500</v>
      </c>
      <c r="D14" s="113">
        <v>500</v>
      </c>
      <c r="E14" s="113">
        <v>500</v>
      </c>
      <c r="F14" s="113">
        <v>600</v>
      </c>
      <c r="G14" s="113">
        <v>600</v>
      </c>
      <c r="H14" s="119"/>
    </row>
    <row r="15" spans="1:8" ht="18" customHeight="1">
      <c r="A15" s="597" t="s">
        <v>546</v>
      </c>
      <c r="B15" s="70"/>
      <c r="C15" s="70">
        <v>8000</v>
      </c>
      <c r="D15" s="70">
        <v>1000</v>
      </c>
      <c r="E15" s="70">
        <v>500</v>
      </c>
      <c r="F15" s="70">
        <v>500</v>
      </c>
      <c r="G15" s="70">
        <v>500</v>
      </c>
      <c r="H15" s="119"/>
    </row>
    <row r="16" spans="1:8" ht="18" hidden="1" customHeight="1">
      <c r="A16" s="598" t="s">
        <v>264</v>
      </c>
      <c r="B16" s="113">
        <v>200</v>
      </c>
      <c r="C16" s="113">
        <v>200</v>
      </c>
      <c r="D16" s="113">
        <v>200</v>
      </c>
      <c r="E16" s="113"/>
      <c r="F16" s="113"/>
      <c r="G16" s="113"/>
      <c r="H16" s="119"/>
    </row>
    <row r="17" spans="1:8" ht="18" hidden="1" customHeight="1">
      <c r="A17" s="450" t="s">
        <v>534</v>
      </c>
      <c r="B17" s="451"/>
      <c r="C17" s="451"/>
      <c r="D17" s="451"/>
      <c r="E17" s="451">
        <f>3500</f>
        <v>3500</v>
      </c>
      <c r="F17" s="451"/>
      <c r="G17" s="451"/>
      <c r="H17" s="119"/>
    </row>
    <row r="18" spans="1:8" ht="18" customHeight="1">
      <c r="A18" s="450" t="s">
        <v>669</v>
      </c>
      <c r="B18" s="451"/>
      <c r="C18" s="451"/>
      <c r="D18" s="451"/>
      <c r="E18" s="70">
        <f>1000*2</f>
        <v>2000</v>
      </c>
      <c r="F18" s="70">
        <v>1000</v>
      </c>
      <c r="G18" s="70">
        <v>1000</v>
      </c>
      <c r="H18" s="119"/>
    </row>
    <row r="19" spans="1:8" ht="18" customHeight="1">
      <c r="A19" s="450" t="s">
        <v>670</v>
      </c>
      <c r="B19" s="451"/>
      <c r="C19" s="451"/>
      <c r="D19" s="451"/>
      <c r="E19" s="451"/>
      <c r="F19" s="451">
        <f>(5*300)+(3*150)+(2*149)+(7*99)+9</f>
        <v>2950</v>
      </c>
      <c r="G19" s="451"/>
      <c r="H19" s="119"/>
    </row>
    <row r="20" spans="1:8" ht="18" customHeight="1">
      <c r="A20" s="450" t="s">
        <v>671</v>
      </c>
      <c r="B20" s="451"/>
      <c r="C20" s="451"/>
      <c r="D20" s="451"/>
      <c r="E20" s="451"/>
      <c r="F20" s="451">
        <f>250</f>
        <v>250</v>
      </c>
      <c r="G20" s="451"/>
      <c r="H20" s="119"/>
    </row>
    <row r="21" spans="1:8" ht="18" customHeight="1">
      <c r="A21" s="450"/>
      <c r="B21" s="451"/>
      <c r="C21" s="451"/>
      <c r="D21" s="451"/>
      <c r="E21" s="451"/>
      <c r="F21" s="451"/>
      <c r="G21" s="451"/>
      <c r="H21" s="119"/>
    </row>
    <row r="22" spans="1:8" ht="18" customHeight="1" thickBot="1">
      <c r="A22" s="600"/>
      <c r="B22" s="599">
        <v>-8000</v>
      </c>
      <c r="C22" s="599"/>
      <c r="D22" s="599"/>
      <c r="E22" s="599"/>
      <c r="F22" s="599"/>
      <c r="G22" s="599"/>
      <c r="H22" s="119"/>
    </row>
    <row r="23" spans="1:8" ht="18" customHeight="1">
      <c r="A23" s="235" t="s">
        <v>122</v>
      </c>
      <c r="B23" s="486">
        <f t="shared" ref="B23:G23" si="0">SUM(B4:B22)</f>
        <v>11350</v>
      </c>
      <c r="C23" s="486">
        <f t="shared" si="0"/>
        <v>23300</v>
      </c>
      <c r="D23" s="486">
        <f t="shared" si="0"/>
        <v>20000</v>
      </c>
      <c r="E23" s="486">
        <f t="shared" si="0"/>
        <v>25095</v>
      </c>
      <c r="F23" s="486">
        <f t="shared" si="0"/>
        <v>17800</v>
      </c>
      <c r="G23" s="486">
        <f t="shared" si="0"/>
        <v>16500</v>
      </c>
      <c r="H23" s="119"/>
    </row>
    <row r="24" spans="1:8" ht="18" customHeight="1"/>
    <row r="25" spans="1:8" ht="18" customHeight="1">
      <c r="A25" s="27"/>
      <c r="B25" s="27"/>
    </row>
    <row r="26" spans="1:8" ht="18" customHeight="1">
      <c r="A26" s="27"/>
      <c r="B26" s="27"/>
    </row>
    <row r="27" spans="1:8" s="48" customFormat="1" ht="20.25" customHeight="1">
      <c r="A27" s="27"/>
      <c r="B27" s="27"/>
      <c r="C27" s="27"/>
      <c r="D27" s="27"/>
      <c r="E27" s="27"/>
      <c r="F27" s="27"/>
      <c r="G27" s="27"/>
      <c r="H27" s="27"/>
    </row>
    <row r="28" spans="1:8" ht="18.75" customHeight="1">
      <c r="A28" s="27"/>
      <c r="B28" s="27"/>
    </row>
    <row r="29" spans="1:8" ht="18.75" customHeight="1">
      <c r="A29" s="27"/>
      <c r="B29" s="27"/>
    </row>
    <row r="30" spans="1:8" ht="18.75" customHeight="1">
      <c r="A30" s="27"/>
      <c r="B30" s="27"/>
    </row>
    <row r="31" spans="1:8" ht="18" customHeight="1">
      <c r="A31" s="27"/>
      <c r="B31" s="27"/>
    </row>
    <row r="32" spans="1:8" ht="18" customHeight="1">
      <c r="A32" s="27"/>
      <c r="B32" s="27"/>
    </row>
    <row r="33" spans="1:2" ht="18" customHeight="1">
      <c r="A33" s="27"/>
      <c r="B33" s="27"/>
    </row>
    <row r="34" spans="1:2" ht="18" customHeight="1">
      <c r="A34" s="27"/>
      <c r="B34" s="27"/>
    </row>
    <row r="35" spans="1:2" ht="18" customHeight="1">
      <c r="A35" s="27"/>
      <c r="B35" s="27"/>
    </row>
    <row r="36" spans="1:2" ht="18" customHeight="1">
      <c r="A36" s="27"/>
      <c r="B36" s="27"/>
    </row>
    <row r="37" spans="1:2" ht="18" customHeight="1">
      <c r="A37" s="27"/>
      <c r="B37" s="27"/>
    </row>
    <row r="38" spans="1:2" ht="18" customHeight="1">
      <c r="A38" s="27"/>
      <c r="B38" s="27"/>
    </row>
    <row r="39" spans="1:2" ht="18" customHeight="1">
      <c r="A39" s="27"/>
      <c r="B39" s="27"/>
    </row>
    <row r="40" spans="1:2" ht="18" customHeight="1">
      <c r="A40" s="27"/>
      <c r="B40" s="27"/>
    </row>
    <row r="41" spans="1:2" ht="18" customHeight="1">
      <c r="A41" s="27"/>
      <c r="B41" s="27"/>
    </row>
    <row r="42" spans="1:2" ht="18" customHeight="1">
      <c r="A42" s="27"/>
      <c r="B42" s="27"/>
    </row>
    <row r="43" spans="1:2" ht="18" customHeight="1">
      <c r="A43" s="27"/>
      <c r="B43" s="27"/>
    </row>
    <row r="44" spans="1:2" ht="18" customHeight="1">
      <c r="A44" s="27"/>
      <c r="B44" s="27"/>
    </row>
    <row r="45" spans="1:2" ht="18" customHeight="1">
      <c r="A45" s="27"/>
      <c r="B45" s="27"/>
    </row>
    <row r="46" spans="1:2" ht="18" customHeight="1">
      <c r="A46" s="27"/>
      <c r="B46" s="27"/>
    </row>
    <row r="47" spans="1:2" ht="18" customHeight="1">
      <c r="A47" s="27"/>
      <c r="B47" s="27"/>
    </row>
    <row r="48" spans="1:2" ht="18" customHeight="1">
      <c r="A48" s="27"/>
      <c r="B48" s="27"/>
    </row>
    <row r="49" spans="1:2" ht="18" customHeight="1">
      <c r="A49" s="27"/>
      <c r="B49" s="27"/>
    </row>
    <row r="50" spans="1:2" ht="18" customHeight="1">
      <c r="A50" s="27"/>
      <c r="B50" s="27"/>
    </row>
    <row r="51" spans="1:2" ht="18" customHeight="1">
      <c r="A51" s="27"/>
      <c r="B51" s="27"/>
    </row>
    <row r="52" spans="1:2" ht="18" customHeight="1">
      <c r="A52" s="27"/>
      <c r="B52" s="27"/>
    </row>
    <row r="53" spans="1:2" ht="18" customHeight="1">
      <c r="A53" s="27"/>
      <c r="B53" s="27"/>
    </row>
    <row r="54" spans="1:2" ht="18" customHeight="1">
      <c r="A54" s="27"/>
      <c r="B54" s="27"/>
    </row>
    <row r="55" spans="1:2" ht="18" customHeight="1">
      <c r="A55" s="27"/>
      <c r="B55" s="27"/>
    </row>
    <row r="56" spans="1:2" ht="18" customHeight="1">
      <c r="A56" s="27"/>
      <c r="B56" s="27"/>
    </row>
    <row r="57" spans="1:2" ht="18" customHeight="1">
      <c r="A57" s="27"/>
      <c r="B57" s="27"/>
    </row>
    <row r="58" spans="1:2" ht="18" customHeight="1">
      <c r="A58" s="27"/>
      <c r="B58" s="27"/>
    </row>
    <row r="59" spans="1:2" ht="18" customHeight="1">
      <c r="A59" s="27"/>
      <c r="B59" s="27"/>
    </row>
    <row r="60" spans="1:2" ht="18" customHeight="1">
      <c r="A60" s="27"/>
      <c r="B60" s="27"/>
    </row>
    <row r="61" spans="1:2" ht="18" customHeight="1">
      <c r="A61" s="27"/>
      <c r="B61" s="27"/>
    </row>
    <row r="62" spans="1:2" ht="18" customHeight="1">
      <c r="A62" s="27"/>
      <c r="B62" s="27"/>
    </row>
    <row r="63" spans="1:2" ht="18" customHeight="1">
      <c r="A63" s="27"/>
      <c r="B63" s="27"/>
    </row>
    <row r="64" spans="1:2" ht="18" customHeight="1">
      <c r="A64" s="27"/>
      <c r="B64" s="27"/>
    </row>
    <row r="65" spans="1:2" ht="18" customHeight="1">
      <c r="A65" s="27"/>
      <c r="B65" s="27"/>
    </row>
    <row r="66" spans="1:2" ht="18" customHeight="1">
      <c r="A66" s="27"/>
      <c r="B66" s="27"/>
    </row>
    <row r="67" spans="1:2" ht="18.75" customHeight="1">
      <c r="A67" s="27"/>
      <c r="B67" s="27"/>
    </row>
    <row r="68" spans="1:2" ht="18.75" customHeight="1">
      <c r="A68" s="27"/>
      <c r="B68" s="27"/>
    </row>
    <row r="69" spans="1:2" ht="18.75" customHeight="1">
      <c r="A69" s="27"/>
      <c r="B69" s="27"/>
    </row>
    <row r="70" spans="1:2" ht="18.75" customHeight="1">
      <c r="A70" s="27"/>
      <c r="B70" s="27"/>
    </row>
    <row r="71" spans="1:2" ht="18.75" customHeight="1">
      <c r="A71" s="27"/>
      <c r="B71" s="27"/>
    </row>
    <row r="72" spans="1:2" ht="18.75" customHeight="1">
      <c r="A72" s="27"/>
      <c r="B72" s="27"/>
    </row>
    <row r="73" spans="1:2" ht="18.75" customHeight="1">
      <c r="A73" s="27"/>
      <c r="B73" s="27"/>
    </row>
    <row r="74" spans="1:2" ht="18.75" customHeight="1">
      <c r="A74" s="27"/>
      <c r="B74" s="27"/>
    </row>
    <row r="75" spans="1:2" ht="18.75" customHeight="1">
      <c r="A75" s="27"/>
      <c r="B75" s="27"/>
    </row>
    <row r="76" spans="1:2" ht="18.75" customHeight="1">
      <c r="A76" s="27"/>
      <c r="B76" s="27"/>
    </row>
    <row r="77" spans="1:2" ht="18.75" customHeight="1">
      <c r="A77" s="27"/>
      <c r="B77" s="27"/>
    </row>
    <row r="78" spans="1:2" ht="18.75" customHeight="1">
      <c r="A78" s="27"/>
      <c r="B78" s="27"/>
    </row>
    <row r="79" spans="1:2" ht="18.75" customHeight="1">
      <c r="A79" s="27"/>
      <c r="B79" s="27"/>
    </row>
    <row r="80" spans="1:2" ht="18.75" customHeight="1">
      <c r="A80" s="27"/>
      <c r="B80" s="27"/>
    </row>
    <row r="81" spans="1:2" ht="18.75" customHeight="1">
      <c r="A81" s="27"/>
      <c r="B81" s="27"/>
    </row>
    <row r="82" spans="1:2" ht="18.75" customHeight="1">
      <c r="A82" s="27"/>
      <c r="B82" s="27"/>
    </row>
    <row r="83" spans="1:2" ht="18.75" customHeight="1">
      <c r="A83" s="27"/>
      <c r="B83" s="27"/>
    </row>
    <row r="84" spans="1:2" ht="18.75" customHeight="1">
      <c r="A84" s="27"/>
      <c r="B84" s="27"/>
    </row>
    <row r="85" spans="1:2" ht="18.75" customHeight="1">
      <c r="A85" s="27"/>
      <c r="B85" s="27"/>
    </row>
    <row r="86" spans="1:2" ht="18.75" customHeight="1">
      <c r="A86" s="27"/>
      <c r="B86" s="27"/>
    </row>
    <row r="87" spans="1:2" ht="18.75" customHeight="1">
      <c r="A87" s="27"/>
      <c r="B87" s="27"/>
    </row>
    <row r="88" spans="1:2" ht="18.75" customHeight="1">
      <c r="A88" s="27"/>
      <c r="B88" s="27"/>
    </row>
    <row r="89" spans="1:2" ht="18.75" customHeight="1">
      <c r="A89" s="27"/>
      <c r="B89" s="27"/>
    </row>
    <row r="90" spans="1:2" ht="18.75" customHeight="1">
      <c r="A90" s="27"/>
      <c r="B90" s="27"/>
    </row>
    <row r="91" spans="1:2" ht="18.75" customHeight="1">
      <c r="A91" s="27"/>
      <c r="B91" s="27"/>
    </row>
    <row r="92" spans="1:2" ht="18.75" customHeight="1">
      <c r="A92" s="27"/>
      <c r="B92" s="27"/>
    </row>
    <row r="93" spans="1:2" ht="18.75" customHeight="1">
      <c r="A93" s="27"/>
      <c r="B93" s="27"/>
    </row>
    <row r="94" spans="1:2" ht="18.75" customHeight="1">
      <c r="A94" s="27"/>
      <c r="B94" s="27"/>
    </row>
    <row r="95" spans="1:2" ht="18.75" customHeight="1">
      <c r="A95" s="27"/>
      <c r="B95" s="27"/>
    </row>
    <row r="96" spans="1:2" ht="18.75" customHeight="1">
      <c r="A96" s="27"/>
      <c r="B96" s="27"/>
    </row>
    <row r="97" spans="1:2" ht="18.75" customHeight="1">
      <c r="A97" s="27"/>
      <c r="B97" s="27"/>
    </row>
    <row r="98" spans="1:2" ht="18.75" customHeight="1">
      <c r="A98" s="27"/>
      <c r="B98" s="27"/>
    </row>
    <row r="99" spans="1:2" ht="18.75" customHeight="1">
      <c r="A99" s="27"/>
      <c r="B99" s="27"/>
    </row>
    <row r="100" spans="1:2" ht="18.75" customHeight="1">
      <c r="A100" s="27"/>
      <c r="B100" s="27"/>
    </row>
    <row r="101" spans="1:2" ht="18.75" customHeight="1">
      <c r="A101" s="27"/>
      <c r="B101" s="27"/>
    </row>
    <row r="102" spans="1:2" ht="18.75" customHeight="1">
      <c r="A102" s="27"/>
      <c r="B102" s="27"/>
    </row>
    <row r="103" spans="1:2" ht="18.75" customHeight="1">
      <c r="A103" s="27"/>
      <c r="B103" s="27"/>
    </row>
    <row r="104" spans="1:2" ht="18.75" customHeight="1">
      <c r="A104" s="27"/>
      <c r="B104" s="27"/>
    </row>
    <row r="105" spans="1:2" ht="18.75" customHeight="1">
      <c r="A105" s="27"/>
      <c r="B105" s="27"/>
    </row>
    <row r="106" spans="1:2" ht="18.75" customHeight="1">
      <c r="A106" s="27"/>
      <c r="B106" s="27"/>
    </row>
    <row r="107" spans="1:2" ht="18.75" customHeight="1">
      <c r="A107" s="27"/>
      <c r="B107" s="27"/>
    </row>
    <row r="108" spans="1:2" ht="18.75" customHeight="1">
      <c r="A108" s="27"/>
      <c r="B108" s="27"/>
    </row>
  </sheetData>
  <sortState ref="A5:E23">
    <sortCondition ref="A5"/>
  </sortState>
  <phoneticPr fontId="19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28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8.75" customHeight="1"/>
  <cols>
    <col min="1" max="1" width="33.42578125" style="14" customWidth="1"/>
    <col min="2" max="2" width="10.7109375" style="15" hidden="1" customWidth="1"/>
    <col min="3" max="3" width="10.7109375" style="104" hidden="1" customWidth="1"/>
    <col min="4" max="7" width="10.7109375" style="104" customWidth="1"/>
    <col min="8" max="16384" width="9.140625" style="104"/>
  </cols>
  <sheetData>
    <row r="1" spans="1:7" s="194" customFormat="1" ht="22.5" customHeight="1">
      <c r="A1" s="230" t="s">
        <v>600</v>
      </c>
      <c r="B1" s="217"/>
      <c r="C1" s="202"/>
      <c r="D1" s="202"/>
      <c r="E1" s="202"/>
      <c r="F1" s="202"/>
      <c r="G1" s="202"/>
    </row>
    <row r="2" spans="1:7" ht="18.75" customHeight="1">
      <c r="A2" s="106"/>
      <c r="B2" s="51"/>
      <c r="C2" s="106"/>
      <c r="D2" s="106"/>
      <c r="E2" s="106"/>
      <c r="F2" s="106"/>
      <c r="G2" s="106"/>
    </row>
    <row r="3" spans="1:7" s="194" customFormat="1" ht="18.75" customHeight="1">
      <c r="A3" s="112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95" customFormat="1" ht="18.75" customHeight="1">
      <c r="A4" s="57"/>
      <c r="B4" s="109"/>
      <c r="C4" s="109"/>
      <c r="D4" s="109"/>
      <c r="E4" s="109"/>
      <c r="F4" s="109"/>
      <c r="G4" s="109"/>
    </row>
    <row r="5" spans="1:7" ht="18.75" customHeight="1">
      <c r="A5" s="57" t="s">
        <v>260</v>
      </c>
      <c r="B5" s="44">
        <v>50</v>
      </c>
      <c r="C5" s="44">
        <v>50</v>
      </c>
      <c r="D5" s="44">
        <v>50</v>
      </c>
      <c r="E5" s="44">
        <v>50</v>
      </c>
      <c r="F5" s="44">
        <v>40</v>
      </c>
      <c r="G5" s="44">
        <v>40</v>
      </c>
    </row>
    <row r="6" spans="1:7" ht="18.75" hidden="1" customHeight="1">
      <c r="A6" s="57" t="s">
        <v>259</v>
      </c>
      <c r="B6" s="44">
        <v>1000</v>
      </c>
      <c r="C6" s="44"/>
      <c r="D6" s="735">
        <v>1800</v>
      </c>
      <c r="E6" s="735" t="s">
        <v>624</v>
      </c>
      <c r="F6" s="735" t="s">
        <v>624</v>
      </c>
      <c r="G6" s="735" t="s">
        <v>624</v>
      </c>
    </row>
    <row r="7" spans="1:7" ht="18.75" customHeight="1">
      <c r="A7" s="57" t="s">
        <v>263</v>
      </c>
      <c r="B7" s="44">
        <v>40</v>
      </c>
      <c r="C7" s="44">
        <v>50</v>
      </c>
      <c r="D7" s="44">
        <v>50</v>
      </c>
      <c r="E7" s="44">
        <v>50</v>
      </c>
      <c r="F7" s="44">
        <v>75</v>
      </c>
      <c r="G7" s="44">
        <v>75</v>
      </c>
    </row>
    <row r="8" spans="1:7" ht="18.75" customHeight="1">
      <c r="A8" s="57" t="s">
        <v>261</v>
      </c>
      <c r="B8" s="68">
        <v>10</v>
      </c>
      <c r="C8" s="68">
        <v>10</v>
      </c>
      <c r="D8" s="68">
        <v>10</v>
      </c>
      <c r="E8" s="68">
        <v>10</v>
      </c>
      <c r="F8" s="68">
        <v>10</v>
      </c>
      <c r="G8" s="68">
        <v>10</v>
      </c>
    </row>
    <row r="9" spans="1:7" ht="18.75" customHeight="1">
      <c r="A9" s="57" t="s">
        <v>262</v>
      </c>
      <c r="B9" s="44">
        <v>800</v>
      </c>
      <c r="C9" s="44">
        <v>750</v>
      </c>
      <c r="D9" s="44">
        <v>750</v>
      </c>
      <c r="E9" s="44">
        <v>750</v>
      </c>
      <c r="F9" s="44">
        <v>750</v>
      </c>
      <c r="G9" s="44">
        <v>750</v>
      </c>
    </row>
    <row r="10" spans="1:7" s="194" customFormat="1" ht="18.75" customHeight="1">
      <c r="A10" s="518"/>
      <c r="B10" s="68"/>
      <c r="C10" s="68"/>
      <c r="D10" s="68"/>
      <c r="E10" s="68"/>
      <c r="F10" s="68"/>
      <c r="G10" s="68"/>
    </row>
    <row r="11" spans="1:7" s="194" customFormat="1" ht="18.75" customHeight="1">
      <c r="A11" s="362"/>
      <c r="B11" s="68"/>
      <c r="C11" s="68"/>
      <c r="D11" s="68"/>
      <c r="E11" s="68"/>
      <c r="F11" s="68"/>
      <c r="G11" s="68"/>
    </row>
    <row r="12" spans="1:7" s="194" customFormat="1" ht="18.75" customHeight="1" thickBot="1">
      <c r="A12" s="362"/>
      <c r="B12" s="355">
        <v>-1100</v>
      </c>
      <c r="C12" s="355"/>
      <c r="D12" s="355"/>
      <c r="E12" s="355"/>
      <c r="F12" s="355"/>
      <c r="G12" s="355"/>
    </row>
    <row r="13" spans="1:7" ht="18.75" customHeight="1" thickTop="1">
      <c r="A13" s="121" t="s">
        <v>131</v>
      </c>
      <c r="B13" s="120">
        <f t="shared" ref="B13:G13" si="0">SUM(B4:B12)</f>
        <v>800</v>
      </c>
      <c r="C13" s="120">
        <f t="shared" si="0"/>
        <v>860</v>
      </c>
      <c r="D13" s="120">
        <f t="shared" si="0"/>
        <v>2660</v>
      </c>
      <c r="E13" s="120">
        <f t="shared" si="0"/>
        <v>860</v>
      </c>
      <c r="F13" s="120">
        <f t="shared" si="0"/>
        <v>875</v>
      </c>
      <c r="G13" s="120">
        <f t="shared" si="0"/>
        <v>875</v>
      </c>
    </row>
    <row r="14" spans="1:7" ht="18.75" customHeight="1">
      <c r="A14" s="105"/>
      <c r="B14" s="47"/>
      <c r="C14" s="27"/>
    </row>
    <row r="15" spans="1:7" ht="18.75" customHeight="1">
      <c r="A15" s="17"/>
      <c r="B15" s="47"/>
      <c r="C15" s="27"/>
    </row>
    <row r="16" spans="1:7" ht="18.75" customHeight="1">
      <c r="A16" s="105"/>
      <c r="B16" s="47"/>
      <c r="C16" s="27"/>
    </row>
  </sheetData>
  <sortState ref="A5:E9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17"/>
  <sheetViews>
    <sheetView workbookViewId="0"/>
  </sheetViews>
  <sheetFormatPr defaultRowHeight="14.25"/>
  <cols>
    <col min="1" max="1" width="32.85546875" style="198" customWidth="1"/>
    <col min="2" max="3" width="11.7109375" style="198" hidden="1" customWidth="1"/>
    <col min="4" max="7" width="11.7109375" style="198" customWidth="1"/>
    <col min="8" max="16384" width="9.140625" style="198"/>
  </cols>
  <sheetData>
    <row r="1" spans="1:7" ht="21" customHeight="1">
      <c r="A1" s="784" t="s">
        <v>574</v>
      </c>
      <c r="B1" s="202"/>
      <c r="C1" s="202"/>
      <c r="D1" s="202"/>
      <c r="E1" s="202"/>
      <c r="F1" s="202"/>
      <c r="G1" s="202"/>
    </row>
    <row r="2" spans="1:7" ht="16.5" customHeight="1">
      <c r="A2" s="206"/>
      <c r="B2" s="106"/>
      <c r="C2" s="106"/>
      <c r="D2" s="106"/>
      <c r="E2" s="106"/>
      <c r="F2" s="106"/>
      <c r="G2" s="106"/>
    </row>
    <row r="3" spans="1:7" ht="17.25" customHeight="1">
      <c r="A3" s="207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ht="18" customHeight="1">
      <c r="A4" s="206"/>
      <c r="B4" s="295"/>
      <c r="C4" s="571"/>
      <c r="D4" s="571"/>
      <c r="E4" s="571"/>
      <c r="F4" s="571"/>
      <c r="G4" s="571"/>
    </row>
    <row r="5" spans="1:7">
      <c r="A5" s="297" t="s">
        <v>24</v>
      </c>
      <c r="B5" s="204">
        <v>28381.3</v>
      </c>
      <c r="C5" s="419">
        <v>32891.56</v>
      </c>
      <c r="D5" s="419">
        <f>REVENUE!E8*0.02</f>
        <v>33713.840000000004</v>
      </c>
      <c r="E5" s="419">
        <f>REVENUE!F8*0.02</f>
        <v>43741.98</v>
      </c>
      <c r="F5" s="419">
        <f>REVENUE!G8*0.02</f>
        <v>47827.66</v>
      </c>
      <c r="G5" s="901">
        <f>REVENUE!H8*0.02</f>
        <v>49740.766400000008</v>
      </c>
    </row>
    <row r="6" spans="1:7">
      <c r="A6" s="297" t="s">
        <v>519</v>
      </c>
      <c r="B6" s="204">
        <v>200</v>
      </c>
      <c r="C6" s="419">
        <v>200</v>
      </c>
      <c r="D6" s="419">
        <v>50</v>
      </c>
      <c r="E6" s="419">
        <v>25</v>
      </c>
      <c r="F6" s="419"/>
      <c r="G6" s="901"/>
    </row>
    <row r="7" spans="1:7" hidden="1">
      <c r="A7" s="297" t="s">
        <v>44</v>
      </c>
      <c r="B7" s="59">
        <v>12000</v>
      </c>
      <c r="C7" s="420">
        <v>0</v>
      </c>
      <c r="D7" s="420"/>
      <c r="E7" s="420"/>
      <c r="F7" s="420"/>
      <c r="G7" s="822"/>
    </row>
    <row r="8" spans="1:7">
      <c r="A8" s="296"/>
      <c r="B8" s="59"/>
      <c r="C8" s="420"/>
      <c r="D8" s="420"/>
      <c r="E8" s="420"/>
      <c r="F8" s="420"/>
      <c r="G8" s="822"/>
    </row>
    <row r="9" spans="1:7" ht="16.5">
      <c r="A9" s="564"/>
      <c r="B9" s="59"/>
      <c r="C9" s="420"/>
      <c r="D9" s="420"/>
      <c r="E9" s="420"/>
      <c r="F9" s="420"/>
      <c r="G9" s="822"/>
    </row>
    <row r="10" spans="1:7" ht="16.5">
      <c r="A10" s="643"/>
      <c r="B10" s="303"/>
      <c r="C10" s="644"/>
      <c r="D10" s="644"/>
      <c r="E10" s="644"/>
      <c r="F10" s="644"/>
      <c r="G10" s="902"/>
    </row>
    <row r="11" spans="1:7" ht="16.5">
      <c r="A11" s="570"/>
      <c r="B11" s="335">
        <v>3041.01</v>
      </c>
      <c r="C11" s="572"/>
      <c r="D11" s="572"/>
      <c r="E11" s="572"/>
      <c r="F11" s="572"/>
      <c r="G11" s="903"/>
    </row>
    <row r="12" spans="1:7" ht="16.5">
      <c r="A12" s="568" t="s">
        <v>161</v>
      </c>
      <c r="B12" s="569">
        <f>SUM(B4:B10)</f>
        <v>40581.300000000003</v>
      </c>
      <c r="C12" s="569">
        <f>SUM(C4:C10)</f>
        <v>33091.56</v>
      </c>
      <c r="D12" s="569">
        <f>SUM(D4:D11)</f>
        <v>33763.840000000004</v>
      </c>
      <c r="E12" s="569">
        <f>SUM(E4:E10)</f>
        <v>43766.98</v>
      </c>
      <c r="F12" s="569">
        <f>SUM(F4:F10)</f>
        <v>47827.66</v>
      </c>
      <c r="G12" s="569">
        <f>SUM(G4:G10)</f>
        <v>49740.766400000008</v>
      </c>
    </row>
    <row r="13" spans="1:7" ht="16.5">
      <c r="A13" s="211"/>
      <c r="B13" s="119"/>
    </row>
    <row r="14" spans="1:7" ht="16.5">
      <c r="A14" s="119"/>
      <c r="B14" s="119"/>
    </row>
    <row r="15" spans="1:7" ht="16.5">
      <c r="A15" s="119"/>
      <c r="B15" s="119"/>
    </row>
    <row r="17" spans="1:1" ht="16.5">
      <c r="A17" s="356" t="s">
        <v>365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Q54"/>
  <sheetViews>
    <sheetView workbookViewId="0"/>
  </sheetViews>
  <sheetFormatPr defaultRowHeight="18.75" customHeight="1"/>
  <cols>
    <col min="1" max="1" width="34.140625" style="3" customWidth="1"/>
    <col min="2" max="2" width="10.7109375" style="4" hidden="1" customWidth="1"/>
    <col min="3" max="3" width="10.7109375" style="1" hidden="1" customWidth="1"/>
    <col min="4" max="7" width="10.7109375" style="1" customWidth="1"/>
    <col min="8" max="16384" width="9.140625" style="1"/>
  </cols>
  <sheetData>
    <row r="1" spans="1:17" s="2" customFormat="1" ht="24" customHeight="1">
      <c r="A1" s="286" t="s">
        <v>601</v>
      </c>
      <c r="B1" s="102"/>
      <c r="C1" s="99"/>
      <c r="D1" s="99"/>
      <c r="E1" s="99"/>
      <c r="F1" s="99"/>
      <c r="G1" s="99"/>
      <c r="H1"/>
      <c r="I1"/>
      <c r="J1"/>
      <c r="K1"/>
      <c r="L1"/>
      <c r="M1"/>
      <c r="N1"/>
      <c r="O1"/>
      <c r="P1"/>
      <c r="Q1"/>
    </row>
    <row r="2" spans="1:17" ht="18.75" customHeight="1">
      <c r="A2" s="54"/>
      <c r="B2" s="33"/>
      <c r="C2" s="54"/>
      <c r="D2" s="54"/>
      <c r="E2" s="54"/>
      <c r="F2" s="54"/>
      <c r="G2" s="54"/>
      <c r="H2"/>
      <c r="I2"/>
      <c r="J2"/>
      <c r="K2"/>
      <c r="L2"/>
      <c r="M2"/>
      <c r="N2"/>
      <c r="O2"/>
      <c r="P2"/>
      <c r="Q2"/>
    </row>
    <row r="3" spans="1:17" s="2" customFormat="1" ht="18.75" customHeight="1">
      <c r="A3" s="43" t="s">
        <v>133</v>
      </c>
      <c r="B3" s="117">
        <v>2010</v>
      </c>
      <c r="C3" s="117">
        <v>2013</v>
      </c>
      <c r="D3" s="117">
        <v>2014</v>
      </c>
      <c r="E3" s="117">
        <v>2015</v>
      </c>
      <c r="F3" s="117">
        <v>2016</v>
      </c>
      <c r="G3" s="117">
        <v>2017</v>
      </c>
      <c r="H3"/>
      <c r="I3"/>
      <c r="J3"/>
      <c r="K3"/>
      <c r="L3"/>
      <c r="M3"/>
      <c r="N3"/>
      <c r="O3"/>
      <c r="P3"/>
      <c r="Q3"/>
    </row>
    <row r="4" spans="1:17" s="6" customFormat="1" ht="18.75" customHeight="1">
      <c r="A4" s="109"/>
      <c r="B4" s="367"/>
      <c r="C4" s="367"/>
      <c r="D4" s="367"/>
      <c r="E4" s="367"/>
      <c r="F4" s="367"/>
      <c r="G4" s="367"/>
      <c r="H4"/>
      <c r="I4"/>
      <c r="J4"/>
      <c r="K4"/>
      <c r="L4"/>
      <c r="M4"/>
      <c r="N4"/>
      <c r="O4"/>
      <c r="P4"/>
      <c r="Q4"/>
    </row>
    <row r="5" spans="1:17" s="2" customFormat="1" ht="24.95" customHeight="1">
      <c r="A5" s="57" t="s">
        <v>134</v>
      </c>
      <c r="B5" s="117"/>
      <c r="C5" s="117"/>
      <c r="D5" s="117"/>
      <c r="E5" s="117"/>
      <c r="F5" s="117"/>
      <c r="G5" s="117"/>
      <c r="H5" s="447"/>
      <c r="I5"/>
      <c r="J5"/>
      <c r="K5"/>
      <c r="L5"/>
      <c r="M5"/>
      <c r="N5"/>
      <c r="O5"/>
      <c r="P5"/>
      <c r="Q5"/>
    </row>
    <row r="6" spans="1:17" ht="24.95" customHeight="1" thickBot="1">
      <c r="A6" s="72" t="s">
        <v>523</v>
      </c>
      <c r="B6" s="368">
        <v>325</v>
      </c>
      <c r="C6" s="368">
        <v>325</v>
      </c>
      <c r="D6" s="368">
        <v>1091</v>
      </c>
      <c r="E6" s="368">
        <f>286*4</f>
        <v>1144</v>
      </c>
      <c r="F6" s="368">
        <v>1100</v>
      </c>
      <c r="G6" s="368"/>
      <c r="H6" s="446"/>
      <c r="I6"/>
      <c r="J6"/>
      <c r="K6"/>
      <c r="L6"/>
      <c r="M6"/>
      <c r="N6"/>
      <c r="O6"/>
      <c r="P6"/>
      <c r="Q6"/>
    </row>
    <row r="7" spans="1:17" ht="24.95" customHeight="1">
      <c r="A7" s="371" t="s">
        <v>271</v>
      </c>
      <c r="B7" s="372">
        <v>3000</v>
      </c>
      <c r="C7" s="372">
        <v>3500</v>
      </c>
      <c r="D7" s="372">
        <v>3092</v>
      </c>
      <c r="E7" s="372">
        <f>757.5*4</f>
        <v>3030</v>
      </c>
      <c r="F7" s="372">
        <v>3200</v>
      </c>
      <c r="G7" s="372"/>
      <c r="H7" s="446"/>
      <c r="I7"/>
      <c r="J7"/>
      <c r="K7"/>
      <c r="L7"/>
      <c r="M7"/>
      <c r="N7"/>
      <c r="O7"/>
      <c r="P7"/>
      <c r="Q7"/>
    </row>
    <row r="8" spans="1:17" ht="24.95" customHeight="1" thickBot="1">
      <c r="A8" s="365" t="s">
        <v>272</v>
      </c>
      <c r="B8" s="369">
        <v>4000</v>
      </c>
      <c r="C8" s="369">
        <v>4000</v>
      </c>
      <c r="D8" s="369">
        <v>3939</v>
      </c>
      <c r="E8" s="369">
        <f>1070*4</f>
        <v>4280</v>
      </c>
      <c r="F8" s="369">
        <v>5000</v>
      </c>
      <c r="G8" s="369"/>
      <c r="H8" s="446"/>
      <c r="I8"/>
      <c r="J8"/>
      <c r="K8"/>
      <c r="L8"/>
      <c r="M8"/>
      <c r="N8"/>
      <c r="O8"/>
      <c r="P8"/>
      <c r="Q8"/>
    </row>
    <row r="9" spans="1:17" ht="24.95" customHeight="1">
      <c r="A9" s="371" t="s">
        <v>270</v>
      </c>
      <c r="B9" s="372">
        <v>2500</v>
      </c>
      <c r="C9" s="372">
        <v>1500</v>
      </c>
      <c r="D9" s="372">
        <v>1541</v>
      </c>
      <c r="E9" s="372">
        <f>592*4</f>
        <v>2368</v>
      </c>
      <c r="F9" s="372">
        <v>2800</v>
      </c>
      <c r="G9" s="372"/>
      <c r="H9" s="446"/>
      <c r="I9"/>
      <c r="J9"/>
      <c r="K9"/>
      <c r="L9"/>
      <c r="M9"/>
      <c r="N9"/>
      <c r="O9"/>
      <c r="P9"/>
      <c r="Q9"/>
    </row>
    <row r="10" spans="1:17" ht="24.95" customHeight="1" thickBot="1">
      <c r="A10" s="365" t="s">
        <v>269</v>
      </c>
      <c r="B10" s="369">
        <v>10000</v>
      </c>
      <c r="C10" s="369">
        <v>10500</v>
      </c>
      <c r="D10" s="369">
        <v>10728</v>
      </c>
      <c r="E10" s="369">
        <f>3385*4</f>
        <v>13540</v>
      </c>
      <c r="F10" s="369">
        <v>15000</v>
      </c>
      <c r="G10" s="369"/>
      <c r="H10" s="446"/>
      <c r="I10"/>
      <c r="J10"/>
      <c r="K10"/>
      <c r="L10"/>
      <c r="M10"/>
      <c r="N10"/>
      <c r="O10"/>
      <c r="P10"/>
      <c r="Q10"/>
    </row>
    <row r="11" spans="1:17" ht="24.95" customHeight="1">
      <c r="A11" s="371" t="s">
        <v>265</v>
      </c>
      <c r="B11" s="373">
        <v>4500</v>
      </c>
      <c r="C11" s="373">
        <v>5000</v>
      </c>
      <c r="D11" s="373">
        <v>4945</v>
      </c>
      <c r="E11" s="373">
        <f>1342*4</f>
        <v>5368</v>
      </c>
      <c r="F11" s="373">
        <v>4600</v>
      </c>
      <c r="G11" s="373"/>
      <c r="H11" s="446"/>
      <c r="I11"/>
      <c r="J11"/>
      <c r="K11"/>
      <c r="L11"/>
      <c r="M11"/>
      <c r="N11"/>
      <c r="O11"/>
      <c r="P11"/>
      <c r="Q11"/>
    </row>
    <row r="12" spans="1:17" ht="18.75" customHeight="1">
      <c r="A12" s="72" t="s">
        <v>524</v>
      </c>
      <c r="B12" s="263"/>
      <c r="C12" s="543"/>
      <c r="D12" s="209">
        <v>34</v>
      </c>
      <c r="E12" s="209">
        <v>34</v>
      </c>
      <c r="F12" s="209"/>
      <c r="G12" s="209"/>
      <c r="H12"/>
      <c r="I12"/>
      <c r="J12"/>
      <c r="K12"/>
      <c r="L12"/>
      <c r="M12"/>
      <c r="N12"/>
      <c r="O12"/>
      <c r="P12"/>
      <c r="Q12"/>
    </row>
    <row r="13" spans="1:17" ht="18.75" customHeight="1">
      <c r="A13" s="72" t="s">
        <v>662</v>
      </c>
      <c r="B13" s="263"/>
      <c r="C13" s="543"/>
      <c r="D13" s="543"/>
      <c r="E13" s="209"/>
      <c r="F13" s="209">
        <f>950*2</f>
        <v>1900</v>
      </c>
      <c r="G13" s="209"/>
      <c r="H13"/>
      <c r="I13"/>
      <c r="J13"/>
      <c r="K13"/>
      <c r="L13"/>
      <c r="M13"/>
      <c r="N13"/>
      <c r="O13"/>
      <c r="P13"/>
      <c r="Q13"/>
    </row>
    <row r="14" spans="1:17" ht="18.75" customHeight="1">
      <c r="A14" s="72"/>
      <c r="B14" s="68"/>
      <c r="C14" s="209"/>
      <c r="D14" s="209"/>
      <c r="E14" s="209"/>
      <c r="F14" s="209"/>
      <c r="G14" s="209"/>
      <c r="H14" s="269"/>
      <c r="I14" s="269"/>
      <c r="J14" s="269"/>
      <c r="K14" s="269"/>
      <c r="L14" s="269"/>
      <c r="M14" s="269"/>
      <c r="N14" s="269"/>
      <c r="O14" s="269"/>
      <c r="P14" s="269"/>
      <c r="Q14" s="269"/>
    </row>
    <row r="15" spans="1:17" ht="18.75" customHeight="1" thickBot="1">
      <c r="A15" s="72" t="s">
        <v>752</v>
      </c>
      <c r="B15" s="355">
        <f>-825-26</f>
        <v>-851</v>
      </c>
      <c r="C15" s="827"/>
      <c r="D15" s="827"/>
      <c r="E15" s="827"/>
      <c r="F15" s="827"/>
      <c r="G15" s="827">
        <v>33600</v>
      </c>
      <c r="H15" s="269"/>
      <c r="I15" s="269"/>
      <c r="J15" s="269"/>
      <c r="K15" s="269"/>
      <c r="L15" s="269"/>
      <c r="M15" s="269"/>
      <c r="N15" s="269"/>
      <c r="O15" s="269"/>
      <c r="P15" s="269"/>
      <c r="Q15" s="269"/>
    </row>
    <row r="16" spans="1:17" ht="18.75" customHeight="1" thickTop="1">
      <c r="A16" s="121" t="s">
        <v>131</v>
      </c>
      <c r="B16" s="46">
        <f>SUM(B4:B15)</f>
        <v>23474</v>
      </c>
      <c r="C16" s="46">
        <f>SUM(C4:C15)</f>
        <v>24825</v>
      </c>
      <c r="D16" s="46">
        <f>SUM(D4:D15)</f>
        <v>25370</v>
      </c>
      <c r="E16" s="46">
        <f>SUM(E4:E15)</f>
        <v>29764</v>
      </c>
      <c r="F16" s="46">
        <f>SUM(F6:F15)</f>
        <v>33600</v>
      </c>
      <c r="G16" s="46">
        <f>SUM(G4:G15)</f>
        <v>33600</v>
      </c>
      <c r="H16"/>
      <c r="I16"/>
      <c r="J16"/>
      <c r="K16"/>
      <c r="L16"/>
      <c r="M16"/>
      <c r="N16"/>
      <c r="O16"/>
      <c r="P16"/>
      <c r="Q16"/>
    </row>
    <row r="17" spans="1:17" ht="18.75" customHeight="1">
      <c r="A17" s="119"/>
      <c r="B17" s="119"/>
      <c r="C17" s="119"/>
      <c r="D17"/>
      <c r="E17" s="370"/>
      <c r="F17" s="370"/>
      <c r="G17" s="370"/>
      <c r="H17"/>
      <c r="I17"/>
      <c r="J17"/>
      <c r="K17"/>
      <c r="L17"/>
      <c r="M17"/>
      <c r="N17"/>
      <c r="O17"/>
      <c r="P17"/>
      <c r="Q17"/>
    </row>
    <row r="18" spans="1:17" ht="18.75" customHeight="1">
      <c r="A18" s="65"/>
      <c r="B18" s="24"/>
      <c r="C18" s="24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8.75" customHeight="1">
      <c r="A19" s="24"/>
      <c r="B19" s="24"/>
      <c r="C19" s="24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8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8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8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8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 customHeight="1">
      <c r="A24"/>
      <c r="B24"/>
      <c r="C24"/>
      <c r="D24"/>
      <c r="E24"/>
      <c r="F24"/>
      <c r="G24"/>
    </row>
    <row r="25" spans="1:17" ht="18.75" customHeight="1">
      <c r="A25"/>
      <c r="B25"/>
      <c r="C25"/>
      <c r="D25"/>
      <c r="E25"/>
      <c r="F25"/>
      <c r="G25"/>
    </row>
    <row r="26" spans="1:17" ht="18.75" customHeight="1">
      <c r="A26"/>
      <c r="B26"/>
      <c r="C26"/>
      <c r="D26"/>
      <c r="E26"/>
      <c r="F26"/>
      <c r="G26"/>
    </row>
    <row r="27" spans="1:17" ht="18.75" customHeight="1">
      <c r="A27"/>
      <c r="B27"/>
      <c r="C27"/>
      <c r="D27"/>
      <c r="E27"/>
      <c r="F27"/>
      <c r="G27"/>
    </row>
    <row r="28" spans="1:17" ht="18.75" customHeight="1">
      <c r="A28"/>
      <c r="B28"/>
      <c r="C28"/>
      <c r="D28"/>
      <c r="E28"/>
      <c r="F28"/>
      <c r="G28"/>
    </row>
    <row r="29" spans="1:17" ht="18.75" customHeight="1">
      <c r="A29"/>
      <c r="B29"/>
      <c r="C29"/>
      <c r="D29"/>
      <c r="E29"/>
      <c r="F29"/>
      <c r="G29"/>
    </row>
    <row r="30" spans="1:17" ht="18.75" customHeight="1">
      <c r="A30"/>
      <c r="B30"/>
      <c r="C30"/>
      <c r="D30"/>
      <c r="E30"/>
      <c r="F30"/>
      <c r="G30"/>
    </row>
    <row r="31" spans="1:17" ht="18.75" customHeight="1">
      <c r="A31"/>
      <c r="B31"/>
      <c r="C31"/>
      <c r="D31"/>
      <c r="E31"/>
      <c r="F31"/>
      <c r="G31"/>
    </row>
    <row r="32" spans="1:17" ht="18.75" customHeight="1">
      <c r="A32"/>
      <c r="B32"/>
      <c r="C32"/>
      <c r="D32"/>
      <c r="E32"/>
      <c r="F32"/>
      <c r="G32"/>
    </row>
    <row r="33" spans="1:7" ht="18.75" customHeight="1">
      <c r="A33"/>
      <c r="B33"/>
      <c r="C33"/>
      <c r="D33"/>
      <c r="E33"/>
      <c r="F33"/>
      <c r="G33"/>
    </row>
    <row r="34" spans="1:7" ht="18.75" customHeight="1">
      <c r="A34"/>
      <c r="B34"/>
      <c r="C34"/>
      <c r="D34"/>
      <c r="E34"/>
      <c r="F34"/>
      <c r="G34"/>
    </row>
    <row r="35" spans="1:7" ht="18.75" customHeight="1">
      <c r="A35"/>
      <c r="B35"/>
      <c r="C35"/>
      <c r="D35"/>
      <c r="E35"/>
      <c r="F35"/>
      <c r="G35"/>
    </row>
    <row r="36" spans="1:7" ht="18.75" customHeight="1">
      <c r="A36"/>
      <c r="B36"/>
      <c r="C36"/>
      <c r="D36"/>
      <c r="E36"/>
      <c r="F36"/>
      <c r="G36"/>
    </row>
    <row r="37" spans="1:7" ht="18.75" customHeight="1">
      <c r="A37"/>
      <c r="B37"/>
      <c r="C37"/>
      <c r="D37"/>
      <c r="E37"/>
      <c r="F37"/>
      <c r="G37"/>
    </row>
    <row r="38" spans="1:7" ht="18.75" customHeight="1">
      <c r="A38"/>
      <c r="B38"/>
      <c r="C38"/>
      <c r="D38"/>
      <c r="E38"/>
      <c r="F38"/>
      <c r="G38"/>
    </row>
    <row r="39" spans="1:7" ht="18.75" customHeight="1">
      <c r="A39"/>
      <c r="B39"/>
      <c r="C39"/>
      <c r="D39"/>
      <c r="E39"/>
      <c r="F39"/>
      <c r="G39"/>
    </row>
    <row r="40" spans="1:7" ht="18.75" customHeight="1">
      <c r="A40"/>
      <c r="B40"/>
      <c r="C40"/>
      <c r="D40"/>
      <c r="E40"/>
      <c r="F40"/>
      <c r="G40"/>
    </row>
    <row r="41" spans="1:7" ht="18.75" customHeight="1">
      <c r="A41"/>
      <c r="B41"/>
      <c r="C41"/>
      <c r="D41"/>
      <c r="E41"/>
      <c r="F41"/>
      <c r="G41"/>
    </row>
    <row r="42" spans="1:7" ht="18.75" customHeight="1">
      <c r="A42"/>
      <c r="B42"/>
      <c r="C42"/>
      <c r="D42"/>
      <c r="E42"/>
      <c r="F42"/>
      <c r="G42"/>
    </row>
    <row r="43" spans="1:7" ht="18.75" customHeight="1">
      <c r="A43"/>
      <c r="B43"/>
      <c r="C43"/>
      <c r="D43"/>
      <c r="E43"/>
      <c r="F43"/>
      <c r="G43"/>
    </row>
    <row r="44" spans="1:7" ht="18.75" customHeight="1">
      <c r="A44"/>
      <c r="B44"/>
      <c r="C44"/>
      <c r="D44"/>
      <c r="E44"/>
      <c r="F44"/>
      <c r="G44"/>
    </row>
    <row r="45" spans="1:7" ht="18.75" customHeight="1">
      <c r="A45"/>
      <c r="B45"/>
      <c r="C45"/>
      <c r="D45"/>
      <c r="E45"/>
      <c r="F45"/>
      <c r="G45"/>
    </row>
    <row r="46" spans="1:7" ht="18.75" customHeight="1">
      <c r="A46"/>
      <c r="B46"/>
      <c r="C46"/>
      <c r="D46"/>
      <c r="E46"/>
      <c r="F46"/>
      <c r="G46"/>
    </row>
    <row r="47" spans="1:7" ht="18.75" customHeight="1">
      <c r="A47"/>
      <c r="B47"/>
      <c r="C47"/>
      <c r="D47"/>
      <c r="E47"/>
      <c r="F47"/>
      <c r="G47"/>
    </row>
    <row r="48" spans="1:7" ht="18.75" customHeight="1">
      <c r="A48"/>
      <c r="B48"/>
      <c r="C48"/>
      <c r="D48"/>
      <c r="E48"/>
      <c r="F48"/>
      <c r="G48"/>
    </row>
    <row r="49" spans="1:7" ht="18.75" customHeight="1">
      <c r="A49"/>
      <c r="B49"/>
      <c r="C49"/>
      <c r="D49"/>
      <c r="E49"/>
      <c r="F49"/>
      <c r="G49"/>
    </row>
    <row r="50" spans="1:7" ht="18.75" customHeight="1">
      <c r="A50"/>
      <c r="B50"/>
      <c r="C50"/>
      <c r="D50"/>
      <c r="E50"/>
      <c r="F50"/>
      <c r="G50"/>
    </row>
    <row r="51" spans="1:7" ht="18.75" customHeight="1">
      <c r="A51"/>
      <c r="B51"/>
      <c r="C51"/>
      <c r="D51"/>
      <c r="E51"/>
      <c r="F51"/>
      <c r="G51"/>
    </row>
    <row r="52" spans="1:7" ht="18.75" customHeight="1">
      <c r="A52"/>
      <c r="B52"/>
      <c r="C52"/>
      <c r="D52"/>
      <c r="E52"/>
      <c r="F52"/>
      <c r="G52"/>
    </row>
    <row r="53" spans="1:7" ht="18.75" customHeight="1">
      <c r="A53"/>
      <c r="B53"/>
      <c r="C53"/>
      <c r="D53"/>
      <c r="E53"/>
      <c r="F53"/>
      <c r="G53"/>
    </row>
    <row r="54" spans="1:7" ht="18.75" customHeight="1">
      <c r="A54"/>
      <c r="B54"/>
      <c r="C54"/>
      <c r="D54"/>
      <c r="E54"/>
      <c r="F54"/>
      <c r="G54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G29"/>
  <sheetViews>
    <sheetView workbookViewId="0"/>
  </sheetViews>
  <sheetFormatPr defaultRowHeight="18.75" customHeight="1"/>
  <cols>
    <col min="1" max="1" width="33.140625" style="14" customWidth="1"/>
    <col min="2" max="2" width="11.7109375" style="15" hidden="1" customWidth="1"/>
    <col min="3" max="3" width="11.7109375" style="104" hidden="1" customWidth="1"/>
    <col min="4" max="7" width="11.7109375" style="104" customWidth="1"/>
    <col min="8" max="16384" width="9.140625" style="104"/>
  </cols>
  <sheetData>
    <row r="1" spans="1:7" s="194" customFormat="1" ht="18.75" customHeight="1">
      <c r="A1" s="230" t="s">
        <v>602</v>
      </c>
      <c r="B1" s="217"/>
      <c r="C1" s="230"/>
      <c r="D1" s="230"/>
      <c r="E1" s="230"/>
      <c r="F1" s="230"/>
      <c r="G1" s="230"/>
    </row>
    <row r="2" spans="1:7" ht="18.75" customHeight="1">
      <c r="A2" s="43"/>
      <c r="B2" s="256"/>
      <c r="C2" s="43"/>
      <c r="D2" s="43"/>
      <c r="E2" s="43"/>
      <c r="F2" s="43"/>
      <c r="G2" s="43"/>
    </row>
    <row r="3" spans="1:7" s="194" customFormat="1" ht="18.75" customHeight="1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95" customFormat="1" ht="18.75" customHeight="1">
      <c r="A4" s="106"/>
      <c r="B4" s="125"/>
      <c r="C4" s="125"/>
      <c r="D4" s="125"/>
      <c r="E4" s="125"/>
      <c r="F4" s="125"/>
      <c r="G4" s="125"/>
    </row>
    <row r="5" spans="1:7" s="194" customFormat="1" ht="18.75" customHeight="1">
      <c r="A5" s="69" t="s">
        <v>226</v>
      </c>
      <c r="B5" s="44">
        <v>500</v>
      </c>
      <c r="C5" s="44">
        <v>1000</v>
      </c>
      <c r="D5" s="44">
        <v>1000</v>
      </c>
      <c r="E5" s="44">
        <v>500</v>
      </c>
      <c r="F5" s="44">
        <v>500</v>
      </c>
      <c r="G5" s="44"/>
    </row>
    <row r="6" spans="1:7" ht="18.75" customHeight="1">
      <c r="A6" s="77" t="s">
        <v>747</v>
      </c>
      <c r="B6" s="44">
        <v>15500</v>
      </c>
      <c r="C6" s="44">
        <v>12000</v>
      </c>
      <c r="D6" s="735">
        <v>12000</v>
      </c>
      <c r="E6" s="735">
        <v>15000</v>
      </c>
      <c r="F6" s="735">
        <v>12000</v>
      </c>
      <c r="G6" s="735">
        <v>12000</v>
      </c>
    </row>
    <row r="7" spans="1:7" ht="18.75" customHeight="1">
      <c r="A7" s="69" t="s">
        <v>227</v>
      </c>
      <c r="B7" s="44">
        <v>1000</v>
      </c>
      <c r="C7" s="44">
        <v>2000</v>
      </c>
      <c r="D7" s="44">
        <v>4000</v>
      </c>
      <c r="E7" s="735"/>
      <c r="F7" s="735"/>
      <c r="G7" s="735"/>
    </row>
    <row r="8" spans="1:7" ht="18.75" customHeight="1">
      <c r="A8" s="69" t="s">
        <v>705</v>
      </c>
      <c r="B8" s="44">
        <v>10000</v>
      </c>
      <c r="C8" s="44">
        <v>10000</v>
      </c>
      <c r="D8" s="44">
        <v>10000</v>
      </c>
      <c r="E8" s="44">
        <v>9000</v>
      </c>
      <c r="F8" s="44">
        <v>8000</v>
      </c>
      <c r="G8" s="44">
        <v>8000</v>
      </c>
    </row>
    <row r="9" spans="1:7" ht="18.75" customHeight="1">
      <c r="A9" s="69" t="s">
        <v>354</v>
      </c>
      <c r="B9" s="68">
        <v>20000</v>
      </c>
      <c r="C9" s="68">
        <v>16000</v>
      </c>
      <c r="D9" s="68">
        <f>1000*12</f>
        <v>12000</v>
      </c>
      <c r="E9" s="68">
        <f>1000*12</f>
        <v>12000</v>
      </c>
      <c r="F9" s="68">
        <f>1000*12</f>
        <v>12000</v>
      </c>
      <c r="G9" s="68">
        <f>1000*12</f>
        <v>12000</v>
      </c>
    </row>
    <row r="10" spans="1:7" ht="18.75" customHeight="1">
      <c r="A10" s="58"/>
      <c r="B10" s="263"/>
      <c r="C10" s="68"/>
      <c r="D10" s="68"/>
      <c r="E10" s="68"/>
      <c r="F10" s="68"/>
      <c r="G10" s="68"/>
    </row>
    <row r="11" spans="1:7" ht="18.75" customHeight="1">
      <c r="A11" s="601"/>
      <c r="B11" s="263"/>
      <c r="C11" s="68"/>
      <c r="D11" s="68"/>
      <c r="E11" s="68"/>
      <c r="F11" s="68"/>
      <c r="G11" s="68"/>
    </row>
    <row r="12" spans="1:7" ht="18.75" customHeight="1">
      <c r="A12" s="601"/>
      <c r="B12" s="68"/>
      <c r="C12" s="68"/>
      <c r="D12" s="68"/>
      <c r="E12" s="68"/>
      <c r="F12" s="68"/>
      <c r="G12" s="68"/>
    </row>
    <row r="13" spans="1:7" ht="18.75" customHeight="1" thickBot="1">
      <c r="A13" s="601"/>
      <c r="B13" s="355">
        <v>-15000</v>
      </c>
      <c r="C13" s="355"/>
      <c r="D13" s="355"/>
      <c r="E13" s="355"/>
      <c r="F13" s="355"/>
      <c r="G13" s="355"/>
    </row>
    <row r="14" spans="1:7" ht="18.75" customHeight="1" thickTop="1">
      <c r="A14" s="111" t="s">
        <v>131</v>
      </c>
      <c r="B14" s="265">
        <f t="shared" ref="B14:G14" si="0">SUM(B4:B13)</f>
        <v>32000</v>
      </c>
      <c r="C14" s="265">
        <f t="shared" si="0"/>
        <v>41000</v>
      </c>
      <c r="D14" s="265">
        <f t="shared" si="0"/>
        <v>39000</v>
      </c>
      <c r="E14" s="265">
        <f t="shared" si="0"/>
        <v>36500</v>
      </c>
      <c r="F14" s="265">
        <f t="shared" si="0"/>
        <v>32500</v>
      </c>
      <c r="G14" s="265">
        <f t="shared" si="0"/>
        <v>32000</v>
      </c>
    </row>
    <row r="15" spans="1:7" ht="18.75" customHeight="1">
      <c r="A15" s="119"/>
      <c r="B15" s="119"/>
      <c r="C15" s="27"/>
      <c r="D15" s="27"/>
    </row>
    <row r="16" spans="1:7" ht="18.75" customHeight="1">
      <c r="A16" s="198"/>
      <c r="B16" s="198"/>
    </row>
    <row r="17" spans="1:2" ht="18.75" customHeight="1">
      <c r="A17" s="198"/>
      <c r="B17" s="198"/>
    </row>
    <row r="18" spans="1:2" ht="18.75" customHeight="1">
      <c r="A18" s="198"/>
      <c r="B18" s="198"/>
    </row>
    <row r="19" spans="1:2" ht="18.75" customHeight="1">
      <c r="A19" s="198"/>
      <c r="B19" s="198"/>
    </row>
    <row r="20" spans="1:2" ht="18.75" customHeight="1">
      <c r="A20" s="198"/>
      <c r="B20" s="198"/>
    </row>
    <row r="21" spans="1:2" ht="18.75" customHeight="1">
      <c r="A21" s="198"/>
      <c r="B21" s="198"/>
    </row>
    <row r="22" spans="1:2" ht="18.75" customHeight="1">
      <c r="A22" s="198"/>
      <c r="B22" s="198"/>
    </row>
    <row r="23" spans="1:2" ht="18.75" customHeight="1">
      <c r="A23" s="198"/>
      <c r="B23" s="198"/>
    </row>
    <row r="24" spans="1:2" ht="18.75" customHeight="1">
      <c r="A24" s="198"/>
      <c r="B24" s="198"/>
    </row>
    <row r="25" spans="1:2" ht="18.75" customHeight="1">
      <c r="A25" s="198"/>
      <c r="B25" s="198"/>
    </row>
    <row r="26" spans="1:2" ht="18.75" customHeight="1">
      <c r="A26" s="198"/>
      <c r="B26" s="198"/>
    </row>
    <row r="27" spans="1:2" ht="18.75" customHeight="1">
      <c r="A27" s="198"/>
      <c r="B27" s="198"/>
    </row>
    <row r="28" spans="1:2" ht="18.75" customHeight="1">
      <c r="A28" s="198"/>
      <c r="B28" s="198"/>
    </row>
    <row r="29" spans="1:2" ht="18.75" customHeight="1">
      <c r="A29" s="198"/>
      <c r="B29" s="198"/>
    </row>
  </sheetData>
  <sortState ref="A6:E10">
    <sortCondition ref="A5"/>
  </sortState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41" style="14" customWidth="1"/>
    <col min="2" max="2" width="10.85546875" style="15" hidden="1" customWidth="1"/>
    <col min="3" max="3" width="10.85546875" style="104" hidden="1" customWidth="1"/>
    <col min="4" max="7" width="10.85546875" style="104" customWidth="1"/>
    <col min="8" max="16384" width="9.140625" style="104"/>
  </cols>
  <sheetData>
    <row r="1" spans="1:7" s="194" customFormat="1" ht="18.75" customHeight="1">
      <c r="A1" s="230" t="s">
        <v>603</v>
      </c>
      <c r="B1" s="217"/>
      <c r="C1" s="202"/>
      <c r="D1" s="202"/>
      <c r="E1" s="202"/>
      <c r="F1" s="202"/>
      <c r="G1" s="202"/>
    </row>
    <row r="2" spans="1:7" ht="18.75" customHeight="1">
      <c r="A2" s="106"/>
      <c r="B2" s="51"/>
      <c r="C2" s="106"/>
      <c r="D2" s="106"/>
      <c r="E2" s="106"/>
      <c r="F2" s="106"/>
      <c r="G2" s="106"/>
    </row>
    <row r="3" spans="1:7" s="194" customFormat="1" ht="18.75" customHeight="1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95" customFormat="1" ht="18.75" customHeight="1">
      <c r="A4" s="125"/>
      <c r="B4" s="109"/>
      <c r="C4" s="109"/>
      <c r="D4" s="109"/>
      <c r="E4" s="109"/>
      <c r="F4" s="109"/>
      <c r="G4" s="109"/>
    </row>
    <row r="5" spans="1:7" s="195" customFormat="1" ht="18.75" customHeight="1">
      <c r="A5" s="69"/>
      <c r="B5" s="44"/>
      <c r="C5" s="44"/>
      <c r="D5" s="44"/>
      <c r="E5" s="44"/>
      <c r="F5" s="44"/>
      <c r="G5" s="44"/>
    </row>
    <row r="6" spans="1:7" s="195" customFormat="1" ht="18.75" customHeight="1">
      <c r="A6" s="325" t="s">
        <v>267</v>
      </c>
      <c r="B6" s="44">
        <v>7500</v>
      </c>
      <c r="C6" s="44">
        <v>8000</v>
      </c>
      <c r="D6" s="44">
        <v>8000</v>
      </c>
      <c r="E6" s="44">
        <v>8000</v>
      </c>
      <c r="F6" s="44">
        <v>8600</v>
      </c>
      <c r="G6" s="44">
        <v>7500</v>
      </c>
    </row>
    <row r="7" spans="1:7" s="195" customFormat="1" ht="18.75" customHeight="1">
      <c r="A7" s="329" t="s">
        <v>549</v>
      </c>
      <c r="B7" s="44">
        <v>100</v>
      </c>
      <c r="C7" s="44">
        <v>100</v>
      </c>
      <c r="D7" s="44">
        <v>125</v>
      </c>
      <c r="E7" s="44">
        <v>130</v>
      </c>
      <c r="F7" s="44">
        <v>150</v>
      </c>
      <c r="G7" s="44"/>
    </row>
    <row r="8" spans="1:7" ht="18.75" customHeight="1">
      <c r="A8" s="77"/>
      <c r="B8" s="44"/>
      <c r="C8" s="44"/>
      <c r="D8" s="44"/>
      <c r="E8" s="44"/>
      <c r="F8" s="44"/>
      <c r="G8" s="44"/>
    </row>
    <row r="9" spans="1:7" ht="18.75" customHeight="1">
      <c r="A9" s="58"/>
      <c r="B9" s="603"/>
      <c r="C9" s="263"/>
      <c r="D9" s="263"/>
      <c r="E9" s="263"/>
      <c r="F9" s="263"/>
      <c r="G9" s="263"/>
    </row>
    <row r="10" spans="1:7" ht="18.75" customHeight="1">
      <c r="A10" s="58"/>
      <c r="B10" s="604"/>
      <c r="C10" s="602"/>
      <c r="D10" s="602"/>
      <c r="E10" s="602"/>
      <c r="F10" s="602"/>
      <c r="G10" s="602"/>
    </row>
    <row r="11" spans="1:7" ht="18.75" customHeight="1">
      <c r="A11" s="58"/>
      <c r="B11" s="604"/>
      <c r="C11" s="602"/>
      <c r="D11" s="602"/>
      <c r="E11" s="602"/>
      <c r="F11" s="602"/>
      <c r="G11" s="602"/>
    </row>
    <row r="12" spans="1:7" ht="18.75" customHeight="1" thickBot="1">
      <c r="A12" s="58"/>
      <c r="B12" s="115">
        <v>-7600</v>
      </c>
      <c r="C12" s="115"/>
      <c r="D12" s="115"/>
      <c r="E12" s="115"/>
      <c r="F12" s="115"/>
      <c r="G12" s="115"/>
    </row>
    <row r="13" spans="1:7" s="194" customFormat="1" ht="18.75" customHeight="1" thickTop="1">
      <c r="A13" s="111" t="s">
        <v>131</v>
      </c>
      <c r="B13" s="46">
        <f t="shared" ref="B13:G13" si="0">SUM(B4:B12)</f>
        <v>0</v>
      </c>
      <c r="C13" s="46">
        <f t="shared" si="0"/>
        <v>8100</v>
      </c>
      <c r="D13" s="46">
        <f t="shared" si="0"/>
        <v>8125</v>
      </c>
      <c r="E13" s="46">
        <f t="shared" si="0"/>
        <v>8130</v>
      </c>
      <c r="F13" s="46">
        <f t="shared" si="0"/>
        <v>8750</v>
      </c>
      <c r="G13" s="46">
        <f t="shared" si="0"/>
        <v>7500</v>
      </c>
    </row>
    <row r="14" spans="1:7" ht="18.75" customHeight="1">
      <c r="A14" s="105"/>
      <c r="B14" s="47"/>
      <c r="C14" s="27"/>
    </row>
    <row r="15" spans="1:7" ht="18.75" customHeight="1">
      <c r="A15" s="105"/>
      <c r="B15" s="47"/>
      <c r="C15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H14"/>
  <sheetViews>
    <sheetView zoomScaleNormal="100" workbookViewId="0"/>
  </sheetViews>
  <sheetFormatPr defaultRowHeight="18.75" customHeight="1"/>
  <cols>
    <col min="1" max="1" width="41.7109375" style="105" customWidth="1"/>
    <col min="2" max="3" width="10.7109375" style="27" hidden="1" customWidth="1"/>
    <col min="4" max="4" width="10.7109375" style="27" customWidth="1"/>
    <col min="5" max="7" width="11.28515625" style="27" customWidth="1"/>
    <col min="8" max="8" width="10" style="27" bestFit="1" customWidth="1"/>
    <col min="9" max="16384" width="9.140625" style="27"/>
  </cols>
  <sheetData>
    <row r="1" spans="1:8" s="48" customFormat="1" ht="18.75" customHeight="1">
      <c r="A1" s="230" t="s">
        <v>604</v>
      </c>
      <c r="B1" s="217"/>
      <c r="C1" s="202"/>
      <c r="D1" s="202"/>
      <c r="E1" s="202"/>
      <c r="F1" s="202"/>
      <c r="G1" s="202"/>
    </row>
    <row r="2" spans="1:8" ht="18.75" customHeight="1">
      <c r="A2" s="106"/>
      <c r="B2" s="51"/>
      <c r="C2" s="106"/>
      <c r="D2" s="106"/>
      <c r="E2" s="106"/>
      <c r="F2" s="106"/>
      <c r="G2" s="106"/>
    </row>
    <row r="3" spans="1:8" s="48" customFormat="1" ht="16.5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8" s="48" customFormat="1" ht="16.5">
      <c r="A4" s="57" t="s">
        <v>115</v>
      </c>
      <c r="B4" s="44">
        <v>1200</v>
      </c>
      <c r="C4" s="44">
        <v>2250</v>
      </c>
      <c r="D4" s="735">
        <f>230*12</f>
        <v>2760</v>
      </c>
      <c r="E4" s="735">
        <f>265*12</f>
        <v>3180</v>
      </c>
      <c r="F4" s="735">
        <f>380*12</f>
        <v>4560</v>
      </c>
      <c r="G4" s="735">
        <f>380*12</f>
        <v>4560</v>
      </c>
    </row>
    <row r="5" spans="1:8" s="48" customFormat="1" ht="18.75" customHeight="1">
      <c r="A5" s="57" t="s">
        <v>526</v>
      </c>
      <c r="B5" s="44">
        <v>4200</v>
      </c>
      <c r="C5" s="44">
        <v>3000</v>
      </c>
      <c r="D5" s="735">
        <f>250*12</f>
        <v>3000</v>
      </c>
      <c r="E5" s="735">
        <f>230*12</f>
        <v>2760</v>
      </c>
      <c r="F5" s="735">
        <f>200*12</f>
        <v>2400</v>
      </c>
      <c r="G5" s="735">
        <f>200*12</f>
        <v>2400</v>
      </c>
      <c r="H5" s="27" t="s">
        <v>659</v>
      </c>
    </row>
    <row r="6" spans="1:8" ht="18.75" customHeight="1">
      <c r="A6" s="57" t="s">
        <v>326</v>
      </c>
      <c r="B6" s="44">
        <v>400</v>
      </c>
      <c r="C6" s="44">
        <v>200</v>
      </c>
      <c r="D6" s="44">
        <v>200</v>
      </c>
      <c r="E6" s="44">
        <v>200</v>
      </c>
      <c r="F6" s="44">
        <v>100</v>
      </c>
      <c r="G6" s="44"/>
    </row>
    <row r="7" spans="1:8" s="48" customFormat="1" ht="18.75" customHeight="1">
      <c r="A7" s="57" t="s">
        <v>672</v>
      </c>
      <c r="B7" s="44">
        <v>4200</v>
      </c>
      <c r="C7" s="44">
        <v>4080</v>
      </c>
      <c r="D7" s="735">
        <f>45*8*12</f>
        <v>4320</v>
      </c>
      <c r="E7" s="735">
        <f>45*8*12</f>
        <v>4320</v>
      </c>
      <c r="F7" s="735">
        <f>(15*189)+(15*189)+(5*189)</f>
        <v>6615</v>
      </c>
      <c r="G7" s="735"/>
    </row>
    <row r="8" spans="1:8" ht="18.75" customHeight="1">
      <c r="A8" s="69" t="s">
        <v>673</v>
      </c>
      <c r="B8" s="68"/>
      <c r="C8" s="68"/>
      <c r="D8" s="68"/>
      <c r="E8" s="68"/>
      <c r="F8" s="68">
        <f>(10*2*12)+(100000*0.01)</f>
        <v>1240</v>
      </c>
      <c r="G8" s="68">
        <f>(10*2*12)+(100000*0.01)</f>
        <v>1240</v>
      </c>
    </row>
    <row r="9" spans="1:8" ht="18.75" customHeight="1">
      <c r="A9" s="69"/>
      <c r="B9" s="68"/>
      <c r="C9" s="68"/>
      <c r="D9" s="68"/>
      <c r="E9" s="68"/>
      <c r="F9" s="68"/>
      <c r="G9" s="68"/>
    </row>
    <row r="10" spans="1:8" ht="18.75" customHeight="1">
      <c r="A10" s="106"/>
      <c r="B10" s="68"/>
      <c r="C10" s="68"/>
      <c r="D10" s="68"/>
      <c r="E10" s="68"/>
      <c r="F10" s="68"/>
      <c r="G10" s="68"/>
    </row>
    <row r="11" spans="1:8" ht="18.75" customHeight="1">
      <c r="A11" s="69"/>
      <c r="B11" s="68">
        <v>300</v>
      </c>
      <c r="C11" s="68"/>
      <c r="D11" s="68"/>
      <c r="E11" s="68"/>
      <c r="F11" s="68"/>
      <c r="G11" s="68"/>
    </row>
    <row r="12" spans="1:8" ht="18.75" customHeight="1">
      <c r="A12" s="111" t="s">
        <v>131</v>
      </c>
      <c r="B12" s="130">
        <f t="shared" ref="B12:G12" si="0">SUM(B4:B11)</f>
        <v>10300</v>
      </c>
      <c r="C12" s="130">
        <f t="shared" si="0"/>
        <v>9530</v>
      </c>
      <c r="D12" s="130">
        <f t="shared" si="0"/>
        <v>10280</v>
      </c>
      <c r="E12" s="130">
        <f t="shared" si="0"/>
        <v>10460</v>
      </c>
      <c r="F12" s="130">
        <f t="shared" si="0"/>
        <v>14915</v>
      </c>
      <c r="G12" s="130">
        <f t="shared" si="0"/>
        <v>8200</v>
      </c>
    </row>
    <row r="14" spans="1:8" ht="18.75" customHeight="1">
      <c r="A14" s="17"/>
    </row>
  </sheetData>
  <sortState ref="A5:E7">
    <sortCondition ref="A5:A7"/>
  </sortState>
  <phoneticPr fontId="19" type="noConversion"/>
  <printOptions horizontalCentered="1"/>
  <pageMargins left="0.7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G25"/>
  <sheetViews>
    <sheetView zoomScaleNormal="100" workbookViewId="0"/>
  </sheetViews>
  <sheetFormatPr defaultRowHeight="18.75" customHeight="1"/>
  <cols>
    <col min="1" max="1" width="36.7109375" style="14" customWidth="1"/>
    <col min="2" max="2" width="12.28515625" style="15" hidden="1" customWidth="1"/>
    <col min="3" max="3" width="12.28515625" style="104" hidden="1" customWidth="1"/>
    <col min="4" max="7" width="12.28515625" style="104" customWidth="1"/>
    <col min="8" max="16384" width="9.140625" style="104"/>
  </cols>
  <sheetData>
    <row r="1" spans="1:7" s="194" customFormat="1" ht="18.75" customHeight="1">
      <c r="A1" s="230" t="s">
        <v>605</v>
      </c>
      <c r="B1" s="217"/>
      <c r="C1" s="202"/>
      <c r="D1" s="202"/>
      <c r="E1" s="202"/>
      <c r="F1" s="202"/>
      <c r="G1" s="202"/>
    </row>
    <row r="2" spans="1:7" ht="18.75" customHeight="1">
      <c r="A2" s="106"/>
      <c r="B2" s="51"/>
      <c r="C2" s="106"/>
      <c r="D2" s="106"/>
      <c r="E2" s="106"/>
      <c r="F2" s="106"/>
      <c r="G2" s="106"/>
    </row>
    <row r="3" spans="1:7" s="194" customFormat="1" ht="18.75" customHeight="1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94" customFormat="1" ht="18.75" customHeight="1">
      <c r="A4" s="77"/>
      <c r="B4" s="109"/>
      <c r="C4" s="109"/>
      <c r="D4" s="109"/>
      <c r="E4" s="109"/>
      <c r="F4" s="109"/>
      <c r="G4" s="109"/>
    </row>
    <row r="5" spans="1:7" s="194" customFormat="1" ht="18.75" customHeight="1">
      <c r="A5" s="61" t="s">
        <v>457</v>
      </c>
      <c r="B5" s="204">
        <v>15000</v>
      </c>
      <c r="C5" s="204">
        <v>18720</v>
      </c>
      <c r="D5" s="245">
        <v>18720</v>
      </c>
      <c r="E5" s="245">
        <f>1200*12</f>
        <v>14400</v>
      </c>
      <c r="F5" s="245">
        <f>1000*12</f>
        <v>12000</v>
      </c>
      <c r="G5" s="245">
        <f>1000*12</f>
        <v>12000</v>
      </c>
    </row>
    <row r="6" spans="1:7" s="194" customFormat="1" ht="18.75" customHeight="1">
      <c r="A6" s="61" t="s">
        <v>460</v>
      </c>
      <c r="B6" s="204">
        <v>15000</v>
      </c>
      <c r="C6" s="204">
        <v>15600</v>
      </c>
      <c r="D6" s="245">
        <v>15600</v>
      </c>
      <c r="E6" s="245">
        <f>1300*12</f>
        <v>15600</v>
      </c>
      <c r="F6" s="245">
        <f>1200*12</f>
        <v>14400</v>
      </c>
      <c r="G6" s="245">
        <f>1200*12</f>
        <v>14400</v>
      </c>
    </row>
    <row r="7" spans="1:7" s="194" customFormat="1" ht="18.75" customHeight="1">
      <c r="A7" s="61" t="s">
        <v>612</v>
      </c>
      <c r="B7" s="204">
        <v>1500</v>
      </c>
      <c r="C7" s="204">
        <v>1920</v>
      </c>
      <c r="D7" s="245">
        <v>1940</v>
      </c>
      <c r="E7" s="245">
        <f>200*12</f>
        <v>2400</v>
      </c>
      <c r="F7" s="245">
        <f>180*12</f>
        <v>2160</v>
      </c>
      <c r="G7" s="245">
        <f>180*12</f>
        <v>2160</v>
      </c>
    </row>
    <row r="8" spans="1:7" s="194" customFormat="1" ht="18.75" customHeight="1">
      <c r="A8" s="61" t="s">
        <v>613</v>
      </c>
      <c r="B8" s="59">
        <v>4000</v>
      </c>
      <c r="C8" s="59">
        <v>5600</v>
      </c>
      <c r="D8" s="63">
        <v>5600</v>
      </c>
      <c r="E8" s="63">
        <f>600*12</f>
        <v>7200</v>
      </c>
      <c r="F8" s="63">
        <f>400*12</f>
        <v>4800</v>
      </c>
      <c r="G8" s="63">
        <f>400*12</f>
        <v>4800</v>
      </c>
    </row>
    <row r="9" spans="1:7" ht="18.75" customHeight="1">
      <c r="A9" s="248" t="s">
        <v>674</v>
      </c>
      <c r="B9" s="59">
        <v>5700</v>
      </c>
      <c r="C9" s="59">
        <v>6600</v>
      </c>
      <c r="D9" s="63">
        <v>6600</v>
      </c>
      <c r="E9" s="63">
        <f>(261*12)+(301*12)</f>
        <v>6744</v>
      </c>
      <c r="F9" s="63">
        <f>((8.29+28.92+31.99+4.39+20)*12)+((8.29+28.92+30+31.99+4.39+10.79+20)*12)</f>
        <v>2735.64</v>
      </c>
      <c r="G9" s="63">
        <f>((8.29+28.92+31.99+4.39+20)*12)+((8.29+28.92+30+31.99+4.39+10.79+20)*12)</f>
        <v>2735.64</v>
      </c>
    </row>
    <row r="10" spans="1:7" ht="18.75" customHeight="1">
      <c r="A10" s="61" t="s">
        <v>485</v>
      </c>
      <c r="B10" s="204">
        <v>3000</v>
      </c>
      <c r="C10" s="204">
        <v>2670</v>
      </c>
      <c r="D10" s="245">
        <v>2670</v>
      </c>
      <c r="E10" s="245">
        <f>250*12</f>
        <v>3000</v>
      </c>
      <c r="F10" s="245">
        <f>320*12</f>
        <v>3840</v>
      </c>
      <c r="G10" s="245">
        <f>320*12</f>
        <v>3840</v>
      </c>
    </row>
    <row r="11" spans="1:7" ht="18.75" customHeight="1">
      <c r="A11" s="61" t="s">
        <v>486</v>
      </c>
      <c r="B11" s="204"/>
      <c r="C11" s="204">
        <v>2370</v>
      </c>
      <c r="D11" s="245">
        <v>2370</v>
      </c>
      <c r="E11" s="245">
        <f>240*12</f>
        <v>2880</v>
      </c>
      <c r="F11" s="245">
        <f>220*12</f>
        <v>2640</v>
      </c>
      <c r="G11" s="245">
        <f>220*12</f>
        <v>2640</v>
      </c>
    </row>
    <row r="12" spans="1:7" ht="18.75" customHeight="1">
      <c r="A12" s="61" t="s">
        <v>458</v>
      </c>
      <c r="B12" s="204">
        <v>8400</v>
      </c>
      <c r="C12" s="204">
        <v>8100</v>
      </c>
      <c r="D12" s="245">
        <v>8100</v>
      </c>
      <c r="E12" s="245">
        <f>675*12</f>
        <v>8100</v>
      </c>
      <c r="F12" s="245">
        <f>675*12</f>
        <v>8100</v>
      </c>
      <c r="G12" s="245">
        <f>675*12</f>
        <v>8100</v>
      </c>
    </row>
    <row r="13" spans="1:7" ht="18.75" customHeight="1">
      <c r="A13" s="61" t="s">
        <v>459</v>
      </c>
      <c r="B13" s="204">
        <v>8800</v>
      </c>
      <c r="C13" s="204">
        <v>12000</v>
      </c>
      <c r="D13" s="245">
        <v>10000</v>
      </c>
      <c r="E13" s="245">
        <f>1200*12</f>
        <v>14400</v>
      </c>
      <c r="F13" s="245">
        <f>1400*12</f>
        <v>16800</v>
      </c>
      <c r="G13" s="245">
        <f>1400*12</f>
        <v>16800</v>
      </c>
    </row>
    <row r="14" spans="1:7" ht="18.75" customHeight="1">
      <c r="A14" s="327" t="s">
        <v>675</v>
      </c>
      <c r="B14" s="303"/>
      <c r="C14" s="303"/>
      <c r="D14" s="303"/>
      <c r="E14" s="303"/>
      <c r="F14" s="303">
        <f>(399*12)+((49*2)*12)</f>
        <v>5964</v>
      </c>
      <c r="G14" s="303">
        <f>(399*12)+((49*2)*12)</f>
        <v>5964</v>
      </c>
    </row>
    <row r="15" spans="1:7" ht="18.75" customHeight="1">
      <c r="A15" s="327"/>
      <c r="B15" s="303"/>
      <c r="C15" s="303"/>
      <c r="D15" s="303"/>
      <c r="E15" s="303"/>
      <c r="F15" s="303"/>
      <c r="G15" s="303"/>
    </row>
    <row r="16" spans="1:7" ht="18.75" customHeight="1" thickBot="1">
      <c r="A16" s="349"/>
      <c r="B16" s="305">
        <v>3000</v>
      </c>
      <c r="C16" s="305"/>
      <c r="D16" s="305"/>
      <c r="E16" s="305"/>
      <c r="F16" s="305"/>
      <c r="G16" s="305"/>
    </row>
    <row r="17" spans="1:7" s="194" customFormat="1" ht="18.75" customHeight="1" thickTop="1">
      <c r="A17" s="322" t="s">
        <v>131</v>
      </c>
      <c r="B17" s="216">
        <f t="shared" ref="B17:G17" si="0">SUM(B4:B16)</f>
        <v>64400</v>
      </c>
      <c r="C17" s="216">
        <f t="shared" si="0"/>
        <v>73580</v>
      </c>
      <c r="D17" s="216">
        <f t="shared" si="0"/>
        <v>71600</v>
      </c>
      <c r="E17" s="216">
        <f t="shared" si="0"/>
        <v>74724</v>
      </c>
      <c r="F17" s="216">
        <f t="shared" si="0"/>
        <v>73439.64</v>
      </c>
      <c r="G17" s="216">
        <f t="shared" si="0"/>
        <v>73439.64</v>
      </c>
    </row>
    <row r="18" spans="1:7" ht="18.75" customHeight="1">
      <c r="A18" s="17"/>
      <c r="B18" s="47"/>
      <c r="C18" s="27"/>
    </row>
    <row r="19" spans="1:7" ht="18.75" customHeight="1">
      <c r="A19" s="257"/>
    </row>
    <row r="20" spans="1:7" ht="18.75" customHeight="1">
      <c r="A20" s="214"/>
    </row>
    <row r="21" spans="1:7" ht="18.75" customHeight="1">
      <c r="A21" s="214"/>
    </row>
    <row r="22" spans="1:7" ht="18.75" customHeight="1">
      <c r="A22" s="214"/>
    </row>
    <row r="23" spans="1:7" ht="18.75" customHeight="1">
      <c r="A23" s="214"/>
    </row>
    <row r="24" spans="1:7" ht="18.75" customHeight="1">
      <c r="A24" s="214"/>
    </row>
    <row r="25" spans="1:7" ht="18.75" customHeight="1">
      <c r="A25" s="214"/>
    </row>
  </sheetData>
  <sortState ref="A5:E12">
    <sortCondition ref="A5"/>
  </sortState>
  <phoneticPr fontId="19" type="noConversion"/>
  <printOptions horizontalCentered="1"/>
  <pageMargins left="0.75" right="0.75" top="1" bottom="1" header="0.5" footer="0.5"/>
  <pageSetup scale="90" orientation="portrait" r:id="rId1"/>
  <headerFooter alignWithMargins="0">
    <oddHeader xml:space="preserve">&amp;C&amp;"Arial,Bold"
</oddHeader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G21"/>
  <sheetViews>
    <sheetView workbookViewId="0"/>
  </sheetViews>
  <sheetFormatPr defaultRowHeight="18.75" customHeight="1"/>
  <cols>
    <col min="1" max="1" width="30.5703125" style="105" customWidth="1"/>
    <col min="2" max="2" width="12.42578125" style="47" hidden="1" customWidth="1"/>
    <col min="3" max="3" width="12.42578125" style="27" hidden="1" customWidth="1"/>
    <col min="4" max="4" width="12.42578125" style="27" customWidth="1"/>
    <col min="5" max="7" width="11.7109375" style="27" customWidth="1"/>
    <col min="8" max="16384" width="9.140625" style="27"/>
  </cols>
  <sheetData>
    <row r="1" spans="1:7" s="48" customFormat="1" ht="18.75" customHeight="1">
      <c r="A1" s="230" t="s">
        <v>606</v>
      </c>
      <c r="B1" s="217"/>
      <c r="C1" s="217"/>
      <c r="D1" s="217"/>
      <c r="E1" s="217"/>
      <c r="F1" s="217"/>
      <c r="G1" s="217"/>
    </row>
    <row r="2" spans="1:7" ht="18.75" customHeight="1">
      <c r="A2" s="106"/>
      <c r="B2" s="51"/>
      <c r="C2" s="51"/>
      <c r="D2" s="51"/>
      <c r="E2" s="51"/>
      <c r="F2" s="51"/>
      <c r="G2" s="51"/>
    </row>
    <row r="3" spans="1:7" s="48" customFormat="1" ht="18.75" customHeight="1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131" customFormat="1" ht="18.75" customHeight="1">
      <c r="A4" s="295"/>
      <c r="B4" s="215"/>
      <c r="C4" s="215"/>
      <c r="D4" s="215"/>
      <c r="E4" s="215"/>
      <c r="F4" s="215"/>
      <c r="G4" s="215"/>
    </row>
    <row r="5" spans="1:7" s="131" customFormat="1" ht="18.75" customHeight="1">
      <c r="A5" s="295"/>
      <c r="B5" s="215"/>
      <c r="C5" s="215"/>
      <c r="D5" s="215"/>
      <c r="E5" s="215"/>
      <c r="F5" s="215"/>
      <c r="G5" s="215"/>
    </row>
    <row r="6" spans="1:7" s="131" customFormat="1" ht="18.75" customHeight="1">
      <c r="A6" s="295"/>
      <c r="B6" s="215"/>
      <c r="C6" s="215"/>
      <c r="D6" s="215"/>
      <c r="E6" s="215"/>
      <c r="F6" s="215"/>
      <c r="G6" s="215"/>
    </row>
    <row r="7" spans="1:7" s="131" customFormat="1" ht="18.75" customHeight="1">
      <c r="A7" s="248" t="s">
        <v>223</v>
      </c>
      <c r="B7" s="215">
        <v>255362.5</v>
      </c>
      <c r="C7" s="215">
        <v>259032.5</v>
      </c>
      <c r="D7" s="215"/>
      <c r="E7" s="215"/>
      <c r="F7" s="215"/>
      <c r="G7" s="215"/>
    </row>
    <row r="8" spans="1:7" s="131" customFormat="1" ht="18.75" customHeight="1">
      <c r="A8" s="248" t="s">
        <v>224</v>
      </c>
      <c r="B8" s="215">
        <v>113247.5</v>
      </c>
      <c r="C8" s="215">
        <v>111447.5</v>
      </c>
      <c r="D8" s="215"/>
      <c r="E8" s="215"/>
      <c r="F8" s="215"/>
      <c r="G8" s="215"/>
    </row>
    <row r="9" spans="1:7" s="131" customFormat="1" ht="18.75" customHeight="1">
      <c r="A9" s="248" t="s">
        <v>753</v>
      </c>
      <c r="B9" s="215"/>
      <c r="C9" s="215"/>
      <c r="D9" s="215">
        <v>75600</v>
      </c>
      <c r="E9" s="215">
        <v>72800</v>
      </c>
      <c r="F9" s="215">
        <v>69050</v>
      </c>
      <c r="G9" s="215">
        <v>63450</v>
      </c>
    </row>
    <row r="10" spans="1:7" s="131" customFormat="1" ht="18.75" customHeight="1">
      <c r="A10" s="248" t="s">
        <v>527</v>
      </c>
      <c r="B10" s="350"/>
      <c r="C10" s="215"/>
      <c r="D10" s="215">
        <v>271950</v>
      </c>
      <c r="E10" s="215">
        <f>36525+200000+36525</f>
        <v>273050</v>
      </c>
      <c r="F10" s="215">
        <v>280000</v>
      </c>
      <c r="G10" s="215">
        <v>280000</v>
      </c>
    </row>
    <row r="11" spans="1:7" s="131" customFormat="1" ht="18.75" customHeight="1">
      <c r="A11" s="248" t="s">
        <v>266</v>
      </c>
      <c r="B11" s="350"/>
      <c r="C11" s="215"/>
      <c r="D11" s="215"/>
      <c r="E11" s="215"/>
      <c r="F11" s="215"/>
      <c r="G11" s="215"/>
    </row>
    <row r="12" spans="1:7" s="131" customFormat="1" ht="18.75" customHeight="1">
      <c r="A12" s="248" t="s">
        <v>358</v>
      </c>
      <c r="B12" s="215"/>
      <c r="C12" s="215"/>
      <c r="D12" s="215"/>
      <c r="E12" s="215"/>
      <c r="F12" s="215"/>
      <c r="G12" s="215"/>
    </row>
    <row r="13" spans="1:7" s="48" customFormat="1" ht="18.75" customHeight="1">
      <c r="A13" s="61"/>
      <c r="B13" s="300"/>
      <c r="C13" s="300"/>
      <c r="D13" s="300"/>
      <c r="E13" s="300"/>
      <c r="F13" s="300"/>
      <c r="G13" s="300"/>
    </row>
    <row r="14" spans="1:7" ht="18.75" customHeight="1" thickBot="1">
      <c r="A14" s="248"/>
      <c r="B14" s="302"/>
      <c r="C14" s="302"/>
      <c r="D14" s="302"/>
      <c r="E14" s="302"/>
      <c r="F14" s="302"/>
      <c r="G14" s="302"/>
    </row>
    <row r="15" spans="1:7" s="48" customFormat="1" ht="18.75" customHeight="1" thickTop="1">
      <c r="A15" s="322" t="s">
        <v>131</v>
      </c>
      <c r="B15" s="346">
        <f t="shared" ref="B15:G15" si="0">SUM(B4:B14)</f>
        <v>368610</v>
      </c>
      <c r="C15" s="346">
        <f t="shared" si="0"/>
        <v>370480</v>
      </c>
      <c r="D15" s="346">
        <f t="shared" si="0"/>
        <v>347550</v>
      </c>
      <c r="E15" s="346">
        <f t="shared" si="0"/>
        <v>345850</v>
      </c>
      <c r="F15" s="346">
        <f t="shared" si="0"/>
        <v>349050</v>
      </c>
      <c r="G15" s="346">
        <f t="shared" si="0"/>
        <v>343450</v>
      </c>
    </row>
    <row r="16" spans="1:7" ht="18.75" customHeight="1">
      <c r="A16" s="284"/>
      <c r="B16" s="284"/>
      <c r="C16" s="284"/>
      <c r="D16" s="284"/>
    </row>
    <row r="17" spans="1:2" ht="18.75" customHeight="1">
      <c r="A17" s="17" t="s">
        <v>373</v>
      </c>
      <c r="B17" s="27"/>
    </row>
    <row r="18" spans="1:2" ht="18.75" customHeight="1">
      <c r="A18" s="17" t="s">
        <v>374</v>
      </c>
    </row>
    <row r="19" spans="1:2" ht="18.75" customHeight="1">
      <c r="A19" s="17"/>
    </row>
    <row r="20" spans="1:2" ht="18.75" customHeight="1">
      <c r="A20" s="17"/>
    </row>
    <row r="21" spans="1:2" ht="18.75" customHeight="1">
      <c r="A21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G11"/>
  <sheetViews>
    <sheetView workbookViewId="0"/>
  </sheetViews>
  <sheetFormatPr defaultRowHeight="18.75" customHeight="1"/>
  <cols>
    <col min="1" max="1" width="44.85546875" style="105" customWidth="1"/>
    <col min="2" max="3" width="10.28515625" style="27" hidden="1" customWidth="1"/>
    <col min="4" max="7" width="10.28515625" style="27" customWidth="1"/>
    <col min="8" max="16384" width="9.140625" style="27"/>
  </cols>
  <sheetData>
    <row r="1" spans="1:7" s="48" customFormat="1" ht="18.75" customHeight="1">
      <c r="A1" s="230" t="s">
        <v>607</v>
      </c>
      <c r="B1" s="217"/>
      <c r="C1" s="202" t="s">
        <v>695</v>
      </c>
      <c r="D1" s="202"/>
      <c r="E1" s="202"/>
      <c r="F1" s="202"/>
      <c r="G1" s="202"/>
    </row>
    <row r="2" spans="1:7" ht="18.75" customHeight="1">
      <c r="A2" s="106"/>
      <c r="B2" s="51"/>
      <c r="C2" s="106"/>
      <c r="D2" s="106"/>
      <c r="E2" s="106"/>
      <c r="F2" s="106"/>
      <c r="G2" s="106"/>
    </row>
    <row r="3" spans="1:7" s="48" customFormat="1" ht="18.75" customHeight="1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>
      <c r="A4" s="295"/>
      <c r="B4" s="295"/>
      <c r="C4" s="295"/>
      <c r="D4" s="295"/>
      <c r="E4" s="295"/>
      <c r="F4" s="295"/>
      <c r="G4" s="295"/>
    </row>
    <row r="5" spans="1:7" ht="18.75" customHeight="1">
      <c r="A5" s="69"/>
      <c r="B5" s="44">
        <v>2750</v>
      </c>
      <c r="C5" s="44"/>
      <c r="D5" s="44"/>
      <c r="E5" s="44"/>
      <c r="F5" s="44"/>
      <c r="G5" s="44"/>
    </row>
    <row r="6" spans="1:7" ht="18.75" customHeight="1">
      <c r="A6" s="69" t="s">
        <v>696</v>
      </c>
      <c r="B6" s="44"/>
      <c r="C6" s="44">
        <v>3250</v>
      </c>
      <c r="D6" s="44">
        <f>5*50*14</f>
        <v>3500</v>
      </c>
      <c r="E6" s="44">
        <f>5*50*14</f>
        <v>3500</v>
      </c>
      <c r="F6" s="44">
        <f>5*50*16</f>
        <v>4000</v>
      </c>
      <c r="G6" s="44">
        <f>5*50*16</f>
        <v>4000</v>
      </c>
    </row>
    <row r="7" spans="1:7" ht="18.75" customHeight="1">
      <c r="A7" s="601"/>
      <c r="B7" s="192"/>
      <c r="C7" s="192"/>
      <c r="D7" s="192"/>
      <c r="E7" s="192"/>
      <c r="F7" s="192"/>
      <c r="G7" s="192"/>
    </row>
    <row r="8" spans="1:7" ht="18.75" customHeight="1">
      <c r="A8" s="601"/>
      <c r="B8" s="192"/>
      <c r="C8" s="192"/>
      <c r="D8" s="192"/>
      <c r="E8" s="192"/>
      <c r="F8" s="192"/>
      <c r="G8" s="192"/>
    </row>
    <row r="9" spans="1:7" ht="18.75" customHeight="1">
      <c r="A9" s="605"/>
      <c r="B9" s="44"/>
      <c r="C9" s="44"/>
      <c r="D9" s="44"/>
      <c r="E9" s="44"/>
      <c r="F9" s="44"/>
      <c r="G9" s="44"/>
    </row>
    <row r="10" spans="1:7" ht="18.75" customHeight="1" thickBot="1">
      <c r="A10" s="601"/>
      <c r="B10" s="606">
        <v>-500</v>
      </c>
      <c r="C10" s="606"/>
      <c r="D10" s="606"/>
      <c r="E10" s="606"/>
      <c r="F10" s="606"/>
      <c r="G10" s="606"/>
    </row>
    <row r="11" spans="1:7" s="48" customFormat="1" ht="18.75" customHeight="1" thickTop="1">
      <c r="A11" s="111" t="s">
        <v>131</v>
      </c>
      <c r="B11" s="46">
        <f t="shared" ref="B11:G11" si="0">SUM(B4:B10)</f>
        <v>2250</v>
      </c>
      <c r="C11" s="46">
        <f t="shared" si="0"/>
        <v>3250</v>
      </c>
      <c r="D11" s="46">
        <f t="shared" si="0"/>
        <v>3500</v>
      </c>
      <c r="E11" s="46">
        <f t="shared" si="0"/>
        <v>3500</v>
      </c>
      <c r="F11" s="46">
        <f t="shared" si="0"/>
        <v>4000</v>
      </c>
      <c r="G11" s="46">
        <f t="shared" si="0"/>
        <v>4000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G13"/>
  <sheetViews>
    <sheetView workbookViewId="0"/>
  </sheetViews>
  <sheetFormatPr defaultRowHeight="18.75" customHeight="1"/>
  <cols>
    <col min="1" max="1" width="47.7109375" style="105" customWidth="1"/>
    <col min="2" max="3" width="10.7109375" style="27" hidden="1" customWidth="1"/>
    <col min="4" max="4" width="10.7109375" style="27" customWidth="1"/>
    <col min="5" max="7" width="10.140625" style="27" customWidth="1"/>
    <col min="8" max="16384" width="9.140625" style="27"/>
  </cols>
  <sheetData>
    <row r="1" spans="1:7" s="48" customFormat="1" ht="18.75" customHeight="1">
      <c r="A1" s="230" t="s">
        <v>28</v>
      </c>
      <c r="B1" s="217"/>
      <c r="C1" s="202"/>
      <c r="D1" s="202"/>
      <c r="E1" s="202"/>
      <c r="F1" s="202"/>
      <c r="G1" s="202"/>
    </row>
    <row r="2" spans="1:7" ht="18.75" customHeight="1">
      <c r="A2" s="106"/>
      <c r="B2" s="51"/>
      <c r="C2" s="106"/>
      <c r="D2" s="106"/>
      <c r="E2" s="106"/>
      <c r="F2" s="106"/>
      <c r="G2" s="106"/>
    </row>
    <row r="3" spans="1:7" s="48" customFormat="1" ht="18.75" customHeight="1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>
      <c r="A4" s="255"/>
      <c r="B4" s="255"/>
      <c r="C4" s="255"/>
      <c r="D4" s="255"/>
      <c r="E4" s="255"/>
      <c r="F4" s="255"/>
      <c r="G4" s="255"/>
    </row>
    <row r="5" spans="1:7" ht="18.75" customHeight="1">
      <c r="A5" s="61" t="s">
        <v>521</v>
      </c>
      <c r="B5" s="204">
        <v>1765</v>
      </c>
      <c r="C5" s="204">
        <v>1550</v>
      </c>
      <c r="D5" s="204">
        <v>3000</v>
      </c>
      <c r="E5" s="204">
        <v>3000</v>
      </c>
      <c r="F5" s="204">
        <v>2500</v>
      </c>
      <c r="G5" s="204">
        <v>2500</v>
      </c>
    </row>
    <row r="6" spans="1:7" ht="18.75" hidden="1" customHeight="1">
      <c r="A6" s="61" t="s">
        <v>399</v>
      </c>
      <c r="B6" s="204">
        <v>2750</v>
      </c>
      <c r="C6" s="204"/>
      <c r="D6" s="204"/>
      <c r="E6" s="204"/>
      <c r="F6" s="204"/>
      <c r="G6" s="204"/>
    </row>
    <row r="7" spans="1:7" ht="18.75" customHeight="1">
      <c r="A7" s="61" t="s">
        <v>478</v>
      </c>
      <c r="B7" s="204"/>
      <c r="C7" s="204">
        <v>2000</v>
      </c>
      <c r="D7" s="204">
        <v>4000</v>
      </c>
      <c r="E7" s="204">
        <v>4000</v>
      </c>
      <c r="F7" s="245">
        <v>5000</v>
      </c>
      <c r="G7" s="204">
        <v>25000</v>
      </c>
    </row>
    <row r="8" spans="1:7" ht="18.75" customHeight="1">
      <c r="A8" s="247"/>
      <c r="B8" s="204"/>
      <c r="C8" s="204"/>
      <c r="D8" s="204"/>
      <c r="E8" s="204"/>
      <c r="F8" s="204"/>
      <c r="G8" s="204"/>
    </row>
    <row r="9" spans="1:7" ht="18.75" customHeight="1">
      <c r="A9" s="247"/>
      <c r="B9" s="204"/>
      <c r="C9" s="204"/>
      <c r="D9" s="204"/>
      <c r="E9" s="204"/>
      <c r="F9" s="204"/>
      <c r="G9" s="204"/>
    </row>
    <row r="10" spans="1:7" ht="18.75" customHeight="1">
      <c r="A10" s="247"/>
      <c r="B10" s="204"/>
      <c r="C10" s="204"/>
      <c r="D10" s="204"/>
      <c r="E10" s="204"/>
      <c r="F10" s="204"/>
      <c r="G10" s="204"/>
    </row>
    <row r="11" spans="1:7" ht="18.75" customHeight="1">
      <c r="A11" s="247"/>
      <c r="B11" s="219"/>
      <c r="C11" s="204"/>
      <c r="D11" s="204"/>
      <c r="E11" s="204"/>
      <c r="F11" s="204"/>
      <c r="G11" s="204"/>
    </row>
    <row r="12" spans="1:7" ht="18.75" customHeight="1" thickBot="1">
      <c r="A12" s="247"/>
      <c r="B12" s="363">
        <f>-4305-210</f>
        <v>-4515</v>
      </c>
      <c r="C12" s="205"/>
      <c r="D12" s="205"/>
      <c r="E12" s="205"/>
      <c r="F12" s="205"/>
      <c r="G12" s="205"/>
    </row>
    <row r="13" spans="1:7" s="48" customFormat="1" ht="18.75" customHeight="1">
      <c r="A13" s="351" t="s">
        <v>131</v>
      </c>
      <c r="B13" s="607">
        <f>SUM(B4:B12)</f>
        <v>0</v>
      </c>
      <c r="C13" s="607">
        <f t="shared" ref="C13:G13" si="0">SUM(C4:C12)</f>
        <v>3550</v>
      </c>
      <c r="D13" s="607">
        <f t="shared" si="0"/>
        <v>7000</v>
      </c>
      <c r="E13" s="607">
        <f t="shared" si="0"/>
        <v>7000</v>
      </c>
      <c r="F13" s="607">
        <f t="shared" ref="F13" si="1">SUM(F4:F12)</f>
        <v>7500</v>
      </c>
      <c r="G13" s="607">
        <f t="shared" si="0"/>
        <v>27500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13" sqref="F13"/>
    </sheetView>
  </sheetViews>
  <sheetFormatPr defaultRowHeight="18.75" customHeight="1"/>
  <cols>
    <col min="1" max="1" width="36.28515625" style="3" customWidth="1"/>
    <col min="2" max="2" width="10.140625" style="1" customWidth="1"/>
    <col min="3" max="6" width="10.7109375" style="1" customWidth="1"/>
    <col min="7" max="16384" width="9.140625" style="1"/>
  </cols>
  <sheetData>
    <row r="1" spans="1:6" s="48" customFormat="1" ht="18.75" customHeight="1">
      <c r="A1" s="232" t="s">
        <v>31</v>
      </c>
      <c r="B1" s="217"/>
      <c r="C1" s="202"/>
      <c r="D1" s="202"/>
      <c r="E1" s="202"/>
      <c r="F1" s="202"/>
    </row>
    <row r="2" spans="1:6" ht="18.75" customHeight="1">
      <c r="A2" s="31"/>
      <c r="B2" s="23"/>
      <c r="C2" s="31"/>
      <c r="D2" s="31"/>
      <c r="E2" s="31"/>
      <c r="F2" s="31"/>
    </row>
    <row r="3" spans="1:6" s="2" customFormat="1" ht="18.75" customHeight="1">
      <c r="A3" s="43" t="s">
        <v>133</v>
      </c>
      <c r="B3" s="43">
        <v>2010</v>
      </c>
      <c r="C3" s="43">
        <v>2011</v>
      </c>
      <c r="D3" s="43">
        <v>2012</v>
      </c>
      <c r="E3" s="43">
        <v>2013</v>
      </c>
      <c r="F3" s="43">
        <v>2014</v>
      </c>
    </row>
    <row r="4" spans="1:6" s="6" customFormat="1" ht="9.75" customHeight="1">
      <c r="A4" s="125"/>
      <c r="B4" s="125"/>
      <c r="C4" s="125"/>
      <c r="D4" s="125"/>
      <c r="E4" s="125"/>
      <c r="F4" s="125"/>
    </row>
    <row r="5" spans="1:6" ht="18.75" customHeight="1">
      <c r="A5" s="609" t="s">
        <v>30</v>
      </c>
      <c r="B5" s="204"/>
      <c r="C5" s="204"/>
      <c r="D5" s="204"/>
      <c r="E5" s="204"/>
      <c r="F5" s="204"/>
    </row>
    <row r="6" spans="1:6" ht="18.75" customHeight="1">
      <c r="A6" s="248" t="s">
        <v>461</v>
      </c>
      <c r="B6" s="204">
        <v>42500</v>
      </c>
      <c r="C6" s="219"/>
      <c r="D6" s="219"/>
      <c r="E6" s="219"/>
      <c r="F6" s="219"/>
    </row>
    <row r="7" spans="1:6" ht="18.75" customHeight="1">
      <c r="A7" s="58"/>
      <c r="B7" s="219"/>
      <c r="C7" s="219"/>
      <c r="D7" s="219"/>
      <c r="E7" s="219"/>
      <c r="F7" s="219"/>
    </row>
    <row r="8" spans="1:6" ht="18.75" customHeight="1">
      <c r="A8" s="69" t="s">
        <v>400</v>
      </c>
      <c r="B8" s="204"/>
      <c r="C8" s="204">
        <v>50000</v>
      </c>
      <c r="D8" s="219"/>
      <c r="E8" s="219"/>
      <c r="F8" s="219"/>
    </row>
    <row r="9" spans="1:6" ht="18.75" customHeight="1">
      <c r="A9" s="58"/>
      <c r="B9" s="219"/>
      <c r="C9" s="219"/>
      <c r="D9" s="219"/>
      <c r="E9" s="219"/>
      <c r="F9" s="219"/>
    </row>
    <row r="10" spans="1:6" ht="18.75" customHeight="1">
      <c r="A10" s="69" t="s">
        <v>462</v>
      </c>
      <c r="B10" s="204"/>
      <c r="C10" s="204"/>
      <c r="D10" s="204">
        <v>56393.53</v>
      </c>
      <c r="E10" s="204"/>
      <c r="F10" s="204"/>
    </row>
    <row r="11" spans="1:6" ht="18.75" customHeight="1">
      <c r="A11" s="69"/>
      <c r="B11" s="204"/>
      <c r="C11" s="204"/>
      <c r="D11" s="204"/>
      <c r="E11" s="204"/>
      <c r="F11" s="204"/>
    </row>
    <row r="12" spans="1:6" ht="18.75" customHeight="1">
      <c r="A12" s="69"/>
      <c r="B12" s="204"/>
      <c r="C12" s="204"/>
      <c r="D12" s="204"/>
      <c r="E12" s="204"/>
      <c r="F12" s="204"/>
    </row>
    <row r="13" spans="1:6" ht="18.75" customHeight="1">
      <c r="A13" s="58" t="s">
        <v>492</v>
      </c>
      <c r="B13" s="205">
        <v>6000</v>
      </c>
      <c r="C13" s="205">
        <v>4751</v>
      </c>
      <c r="D13" s="205">
        <v>-50964.53</v>
      </c>
      <c r="E13" s="205"/>
      <c r="F13" s="205"/>
    </row>
    <row r="14" spans="1:6" s="2" customFormat="1" ht="18.75" customHeight="1">
      <c r="A14" s="235" t="s">
        <v>131</v>
      </c>
      <c r="B14" s="608">
        <f>SUM(B4:B13)</f>
        <v>48500</v>
      </c>
      <c r="C14" s="608">
        <f>SUM(C4:C13)</f>
        <v>54751</v>
      </c>
      <c r="D14" s="608">
        <f>SUM(D4:D13)</f>
        <v>5429</v>
      </c>
      <c r="E14" s="608">
        <f>SUM(E4:E13)</f>
        <v>0</v>
      </c>
      <c r="F14" s="608">
        <f>SUM(F4:F13)</f>
        <v>0</v>
      </c>
    </row>
    <row r="15" spans="1:6" ht="18.75" customHeight="1">
      <c r="C15"/>
      <c r="D15"/>
    </row>
  </sheetData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G33"/>
  <sheetViews>
    <sheetView workbookViewId="0"/>
  </sheetViews>
  <sheetFormatPr defaultRowHeight="18.75" customHeight="1"/>
  <cols>
    <col min="1" max="1" width="35.5703125" style="105" customWidth="1"/>
    <col min="2" max="2" width="11" style="47" hidden="1" customWidth="1"/>
    <col min="3" max="3" width="11" style="27" hidden="1" customWidth="1"/>
    <col min="4" max="4" width="11" style="27" customWidth="1"/>
    <col min="5" max="7" width="10.28515625" style="27" customWidth="1"/>
    <col min="8" max="16384" width="9.140625" style="27"/>
  </cols>
  <sheetData>
    <row r="1" spans="1:7" s="48" customFormat="1" ht="18.75" customHeight="1">
      <c r="A1" s="230" t="s">
        <v>355</v>
      </c>
      <c r="B1" s="217"/>
      <c r="C1" s="217"/>
      <c r="D1" s="217"/>
      <c r="E1" s="217"/>
      <c r="F1" s="217"/>
      <c r="G1" s="217"/>
    </row>
    <row r="2" spans="1:7" ht="18.75" customHeight="1">
      <c r="A2" s="106"/>
      <c r="B2" s="51"/>
      <c r="C2" s="51"/>
      <c r="D2" s="51"/>
      <c r="E2" s="51"/>
      <c r="F2" s="51"/>
      <c r="G2" s="51"/>
    </row>
    <row r="3" spans="1:7" s="48" customFormat="1" ht="18.75" customHeight="1">
      <c r="A3" s="43" t="s">
        <v>133</v>
      </c>
      <c r="B3" s="107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 s="48" customFormat="1" ht="18.75" customHeight="1">
      <c r="A4" s="43"/>
      <c r="B4" s="136"/>
      <c r="C4" s="136"/>
      <c r="D4" s="136"/>
      <c r="E4" s="136"/>
      <c r="F4" s="136"/>
      <c r="G4" s="136"/>
    </row>
    <row r="5" spans="1:7" s="48" customFormat="1" ht="21.95" customHeight="1">
      <c r="A5" s="69" t="s">
        <v>9</v>
      </c>
      <c r="B5" s="129">
        <v>200</v>
      </c>
      <c r="C5" s="129">
        <v>100</v>
      </c>
      <c r="D5" s="129">
        <v>150</v>
      </c>
      <c r="E5" s="129">
        <v>150</v>
      </c>
      <c r="F5" s="129">
        <v>200</v>
      </c>
      <c r="G5" s="129">
        <v>200</v>
      </c>
    </row>
    <row r="6" spans="1:7" s="48" customFormat="1" ht="21.95" customHeight="1">
      <c r="A6" s="69" t="s">
        <v>522</v>
      </c>
      <c r="B6" s="129">
        <v>300</v>
      </c>
      <c r="C6" s="129">
        <v>150</v>
      </c>
      <c r="D6" s="129">
        <v>150</v>
      </c>
      <c r="E6" s="129">
        <v>150</v>
      </c>
      <c r="F6" s="129">
        <v>150</v>
      </c>
      <c r="G6" s="129"/>
    </row>
    <row r="7" spans="1:7" s="48" customFormat="1" ht="21.95" hidden="1" customHeight="1">
      <c r="A7" s="69" t="s">
        <v>340</v>
      </c>
      <c r="B7" s="129">
        <v>1000</v>
      </c>
      <c r="C7" s="129">
        <v>200</v>
      </c>
      <c r="D7" s="129">
        <v>200</v>
      </c>
      <c r="E7" s="797"/>
      <c r="F7" s="797"/>
      <c r="G7" s="797"/>
    </row>
    <row r="8" spans="1:7" s="48" customFormat="1" ht="21.95" hidden="1" customHeight="1">
      <c r="A8" s="69" t="s">
        <v>10</v>
      </c>
      <c r="B8" s="129">
        <v>125</v>
      </c>
      <c r="C8" s="129">
        <v>125</v>
      </c>
      <c r="D8" s="129">
        <v>100</v>
      </c>
      <c r="E8" s="797"/>
      <c r="F8" s="797"/>
      <c r="G8" s="797"/>
    </row>
    <row r="9" spans="1:7" s="48" customFormat="1" ht="21.95" customHeight="1">
      <c r="A9" s="69" t="s">
        <v>528</v>
      </c>
      <c r="B9" s="56">
        <v>500</v>
      </c>
      <c r="C9" s="129">
        <v>300</v>
      </c>
      <c r="D9" s="129">
        <v>300</v>
      </c>
      <c r="E9" s="797">
        <v>300</v>
      </c>
      <c r="F9" s="797">
        <v>300</v>
      </c>
      <c r="G9" s="797">
        <v>300</v>
      </c>
    </row>
    <row r="10" spans="1:7" s="48" customFormat="1" ht="21.95" customHeight="1">
      <c r="A10" s="69" t="s">
        <v>8</v>
      </c>
      <c r="B10" s="129">
        <v>300</v>
      </c>
      <c r="C10" s="56">
        <v>200</v>
      </c>
      <c r="D10" s="56">
        <v>0</v>
      </c>
      <c r="E10" s="113">
        <v>0</v>
      </c>
      <c r="F10" s="113">
        <v>150</v>
      </c>
      <c r="G10" s="113">
        <v>150</v>
      </c>
    </row>
    <row r="11" spans="1:7" s="48" customFormat="1" ht="21.95" customHeight="1">
      <c r="A11" s="69" t="s">
        <v>7</v>
      </c>
      <c r="B11" s="129">
        <v>300</v>
      </c>
      <c r="C11" s="129">
        <v>200</v>
      </c>
      <c r="D11" s="129">
        <v>0</v>
      </c>
      <c r="E11" s="797">
        <v>0</v>
      </c>
      <c r="F11" s="797">
        <v>150</v>
      </c>
      <c r="G11" s="797">
        <v>150</v>
      </c>
    </row>
    <row r="12" spans="1:7" s="48" customFormat="1" ht="21.95" customHeight="1">
      <c r="A12" s="69" t="s">
        <v>11</v>
      </c>
      <c r="B12" s="129">
        <v>200</v>
      </c>
      <c r="C12" s="129">
        <v>150</v>
      </c>
      <c r="D12" s="129">
        <v>100</v>
      </c>
      <c r="E12" s="797"/>
      <c r="F12" s="797"/>
      <c r="G12" s="797"/>
    </row>
    <row r="13" spans="1:7" s="48" customFormat="1" ht="21.95" hidden="1" customHeight="1">
      <c r="A13" s="69" t="s">
        <v>553</v>
      </c>
      <c r="B13" s="780"/>
      <c r="C13" s="258"/>
      <c r="D13" s="258"/>
      <c r="E13" s="258"/>
      <c r="F13" s="798"/>
      <c r="G13" s="798"/>
    </row>
    <row r="14" spans="1:7" s="48" customFormat="1" ht="21.95" customHeight="1">
      <c r="A14" s="69"/>
      <c r="B14" s="780"/>
      <c r="C14" s="258"/>
      <c r="D14" s="258"/>
      <c r="E14" s="258"/>
      <c r="F14" s="798"/>
      <c r="G14" s="798"/>
    </row>
    <row r="15" spans="1:7" s="48" customFormat="1" ht="21.95" customHeight="1">
      <c r="A15" s="69"/>
      <c r="B15" s="780"/>
      <c r="C15" s="258"/>
      <c r="D15" s="258"/>
      <c r="E15" s="258"/>
      <c r="F15" s="798"/>
      <c r="G15" s="798"/>
    </row>
    <row r="16" spans="1:7" ht="21.95" customHeight="1" thickBot="1">
      <c r="A16" s="106"/>
      <c r="B16" s="259"/>
      <c r="C16" s="260"/>
      <c r="D16" s="260"/>
      <c r="E16" s="260"/>
      <c r="F16" s="260"/>
      <c r="G16" s="260"/>
    </row>
    <row r="17" spans="1:7" ht="21.95" customHeight="1" thickTop="1">
      <c r="A17" s="111" t="s">
        <v>131</v>
      </c>
      <c r="B17" s="97">
        <f t="shared" ref="B17:G17" si="0">SUM(B4:B16)</f>
        <v>2925</v>
      </c>
      <c r="C17" s="97">
        <f t="shared" si="0"/>
        <v>1425</v>
      </c>
      <c r="D17" s="97">
        <f t="shared" si="0"/>
        <v>1000</v>
      </c>
      <c r="E17" s="97">
        <f t="shared" si="0"/>
        <v>600</v>
      </c>
      <c r="F17" s="97">
        <f t="shared" si="0"/>
        <v>950</v>
      </c>
      <c r="G17" s="97">
        <f t="shared" si="0"/>
        <v>800</v>
      </c>
    </row>
    <row r="18" spans="1:7" ht="18.75" customHeight="1">
      <c r="A18" s="119"/>
      <c r="B18" s="119"/>
    </row>
    <row r="19" spans="1:7" ht="18.75" customHeight="1">
      <c r="A19" s="119"/>
      <c r="B19" s="119"/>
    </row>
    <row r="20" spans="1:7" ht="18.75" customHeight="1">
      <c r="A20" s="119"/>
      <c r="B20" s="119"/>
    </row>
    <row r="21" spans="1:7" ht="18.75" customHeight="1">
      <c r="A21" s="119"/>
      <c r="B21" s="119"/>
    </row>
    <row r="22" spans="1:7" ht="18.75" customHeight="1">
      <c r="A22" s="119"/>
      <c r="B22" s="119"/>
    </row>
    <row r="23" spans="1:7" ht="18.75" customHeight="1">
      <c r="A23" s="119"/>
      <c r="B23" s="119"/>
    </row>
    <row r="24" spans="1:7" ht="18.75" customHeight="1">
      <c r="A24" s="119"/>
      <c r="B24" s="119"/>
    </row>
    <row r="25" spans="1:7" ht="18.75" customHeight="1">
      <c r="A25" s="119"/>
      <c r="B25" s="119"/>
    </row>
    <row r="26" spans="1:7" ht="18.75" customHeight="1">
      <c r="A26" s="119"/>
      <c r="B26" s="119"/>
    </row>
    <row r="27" spans="1:7" ht="18.75" customHeight="1">
      <c r="A27" s="119"/>
      <c r="B27" s="119"/>
    </row>
    <row r="28" spans="1:7" ht="18.75" customHeight="1">
      <c r="A28" s="119"/>
      <c r="B28" s="119"/>
    </row>
    <row r="29" spans="1:7" ht="18.75" customHeight="1">
      <c r="A29" s="119"/>
      <c r="B29" s="119"/>
    </row>
    <row r="30" spans="1:7" ht="18.75" customHeight="1">
      <c r="A30" s="119"/>
      <c r="B30" s="119"/>
    </row>
    <row r="31" spans="1:7" ht="18.75" customHeight="1">
      <c r="A31" s="119"/>
      <c r="B31" s="119"/>
    </row>
    <row r="32" spans="1:7" ht="18.75" customHeight="1">
      <c r="A32" s="119"/>
      <c r="B32" s="119"/>
    </row>
    <row r="33" spans="1:2" ht="18.75" customHeight="1">
      <c r="A33" s="119"/>
      <c r="B33" s="119"/>
    </row>
  </sheetData>
  <sortState ref="A5:E13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36"/>
  <sheetViews>
    <sheetView workbookViewId="0"/>
  </sheetViews>
  <sheetFormatPr defaultRowHeight="18.75" customHeight="1"/>
  <cols>
    <col min="1" max="1" width="34.28515625" style="3" bestFit="1" customWidth="1"/>
    <col min="2" max="3" width="10.7109375" style="1" hidden="1" customWidth="1"/>
    <col min="4" max="6" width="10.7109375" style="1" customWidth="1"/>
    <col min="7" max="7" width="11.42578125" style="1" customWidth="1"/>
    <col min="8" max="16384" width="9.140625" style="1"/>
  </cols>
  <sheetData>
    <row r="1" spans="1:7" s="2" customFormat="1" ht="18.75" customHeight="1">
      <c r="A1" s="786" t="s">
        <v>565</v>
      </c>
      <c r="B1" s="99"/>
      <c r="C1" s="99"/>
      <c r="D1" s="99"/>
      <c r="E1" s="99"/>
      <c r="F1" s="99"/>
      <c r="G1" s="99"/>
    </row>
    <row r="2" spans="1:7" ht="18.75" customHeight="1">
      <c r="A2" s="73"/>
      <c r="B2" s="54"/>
      <c r="C2" s="54"/>
      <c r="D2" s="54"/>
      <c r="E2" s="54"/>
      <c r="F2" s="54"/>
      <c r="G2" s="54"/>
    </row>
    <row r="3" spans="1:7" s="2" customFormat="1" ht="18.75" customHeight="1">
      <c r="A3" s="29" t="s">
        <v>133</v>
      </c>
      <c r="B3" s="32">
        <v>2010</v>
      </c>
      <c r="C3" s="32">
        <v>2013</v>
      </c>
      <c r="D3" s="32">
        <v>2014</v>
      </c>
      <c r="E3" s="32">
        <v>2015</v>
      </c>
      <c r="F3" s="32">
        <v>2016</v>
      </c>
      <c r="G3" s="32">
        <v>2017</v>
      </c>
    </row>
    <row r="4" spans="1:7" s="6" customFormat="1" ht="18.75" customHeight="1">
      <c r="A4" s="74"/>
      <c r="B4" s="75"/>
      <c r="C4" s="75"/>
      <c r="D4" s="75"/>
      <c r="E4" s="75"/>
      <c r="F4" s="75"/>
      <c r="G4" s="75"/>
    </row>
    <row r="5" spans="1:7" ht="18.75" customHeight="1">
      <c r="A5" s="298" t="s">
        <v>367</v>
      </c>
      <c r="B5" s="44">
        <v>24000</v>
      </c>
      <c r="C5" s="44">
        <v>23253</v>
      </c>
      <c r="D5" s="735">
        <f>C5*1.05</f>
        <v>24415.65</v>
      </c>
      <c r="E5" s="735">
        <v>23800</v>
      </c>
      <c r="F5" s="735">
        <v>26180</v>
      </c>
      <c r="G5" s="735">
        <f>F5*1.1</f>
        <v>28798.000000000004</v>
      </c>
    </row>
    <row r="6" spans="1:7" ht="18.75" customHeight="1">
      <c r="A6" s="298" t="s">
        <v>366</v>
      </c>
      <c r="B6" s="44"/>
      <c r="C6" s="44"/>
      <c r="D6" s="44"/>
      <c r="E6" s="44"/>
      <c r="F6" s="44"/>
      <c r="G6" s="735"/>
    </row>
    <row r="7" spans="1:7" ht="18.75" customHeight="1">
      <c r="A7" s="76"/>
      <c r="B7" s="44"/>
      <c r="C7" s="44"/>
      <c r="D7" s="44"/>
      <c r="E7" s="44"/>
      <c r="F7" s="44"/>
      <c r="G7" s="735"/>
    </row>
    <row r="8" spans="1:7" ht="18.75" customHeight="1">
      <c r="A8" s="357"/>
      <c r="B8" s="44"/>
      <c r="C8" s="44"/>
      <c r="D8" s="44"/>
      <c r="E8" s="44"/>
      <c r="F8" s="44"/>
      <c r="G8" s="735"/>
    </row>
    <row r="9" spans="1:7" ht="18.75" customHeight="1">
      <c r="A9" s="76"/>
      <c r="B9" s="192"/>
      <c r="C9" s="44"/>
      <c r="D9" s="44"/>
      <c r="E9" s="44"/>
      <c r="F9" s="44"/>
      <c r="G9" s="735"/>
    </row>
    <row r="10" spans="1:7" ht="18.75" customHeight="1" thickBot="1">
      <c r="A10" s="76"/>
      <c r="B10" s="366">
        <v>-5480</v>
      </c>
      <c r="C10" s="45"/>
      <c r="D10" s="45"/>
      <c r="E10" s="45"/>
      <c r="F10" s="45"/>
      <c r="G10" s="368"/>
    </row>
    <row r="11" spans="1:7" s="2" customFormat="1" ht="18.75" customHeight="1" thickTop="1">
      <c r="A11" s="196" t="s">
        <v>131</v>
      </c>
      <c r="B11" s="46">
        <f t="shared" ref="B11:G11" si="0">SUM(B4:B10)</f>
        <v>18520</v>
      </c>
      <c r="C11" s="46">
        <f t="shared" si="0"/>
        <v>23253</v>
      </c>
      <c r="D11" s="46">
        <f t="shared" si="0"/>
        <v>24415.65</v>
      </c>
      <c r="E11" s="46">
        <f t="shared" si="0"/>
        <v>23800</v>
      </c>
      <c r="F11" s="46">
        <f t="shared" si="0"/>
        <v>26180</v>
      </c>
      <c r="G11" s="894">
        <f t="shared" si="0"/>
        <v>28798.000000000004</v>
      </c>
    </row>
    <row r="12" spans="1:7" ht="18.75" customHeight="1">
      <c r="A12" s="24"/>
      <c r="B12" s="26"/>
      <c r="C12" s="26"/>
    </row>
    <row r="13" spans="1:7" ht="18.75" customHeight="1">
      <c r="A13" s="287"/>
      <c r="B13" s="26"/>
      <c r="C13" s="26"/>
    </row>
    <row r="14" spans="1:7" ht="18.75" customHeight="1">
      <c r="A14" s="253"/>
      <c r="B14" s="26"/>
      <c r="C14" s="26"/>
    </row>
    <row r="15" spans="1:7" ht="18.75" customHeight="1">
      <c r="A15" s="253"/>
      <c r="B15" s="26"/>
      <c r="C15" s="26"/>
    </row>
    <row r="16" spans="1:7" ht="18.75" customHeight="1">
      <c r="A16" s="103"/>
      <c r="B16" s="26"/>
    </row>
    <row r="17" spans="1:7" ht="18.75" customHeight="1">
      <c r="A17" s="103"/>
      <c r="B17" s="26"/>
    </row>
    <row r="18" spans="1:7" ht="18.75" customHeight="1">
      <c r="A18" s="103"/>
    </row>
    <row r="19" spans="1:7" ht="18.75" customHeight="1">
      <c r="A19" s="17"/>
    </row>
    <row r="20" spans="1:7" ht="18.75" customHeight="1">
      <c r="B20" s="27"/>
      <c r="C20" s="27"/>
      <c r="D20" s="27"/>
      <c r="E20" s="27"/>
      <c r="F20" s="27"/>
      <c r="G20" s="27"/>
    </row>
    <row r="21" spans="1:7" ht="18.75" customHeight="1">
      <c r="A21" s="17"/>
      <c r="B21" s="27"/>
      <c r="C21" s="27"/>
      <c r="D21" s="27"/>
      <c r="E21" s="27"/>
      <c r="F21" s="27"/>
      <c r="G21" s="27"/>
    </row>
    <row r="22" spans="1:7" ht="18.75" customHeight="1">
      <c r="A22" s="17"/>
      <c r="B22" s="27"/>
      <c r="C22" s="27"/>
      <c r="D22" s="27"/>
      <c r="E22" s="27"/>
      <c r="F22" s="27"/>
      <c r="G22" s="27"/>
    </row>
    <row r="23" spans="1:7" ht="18.75" customHeight="1">
      <c r="A23" s="17"/>
      <c r="B23" s="27"/>
      <c r="C23" s="27"/>
      <c r="D23" s="27"/>
      <c r="E23" s="27"/>
      <c r="F23" s="27"/>
      <c r="G23" s="27"/>
    </row>
    <row r="24" spans="1:7" ht="18.75" customHeight="1">
      <c r="A24" s="17"/>
      <c r="B24" s="27"/>
      <c r="C24" s="27"/>
      <c r="D24" s="27"/>
      <c r="E24" s="27"/>
      <c r="F24" s="27"/>
      <c r="G24" s="27"/>
    </row>
    <row r="25" spans="1:7" ht="18.75" customHeight="1">
      <c r="A25" s="17"/>
      <c r="B25" s="27"/>
      <c r="C25" s="27"/>
      <c r="D25" s="27"/>
      <c r="E25" s="27"/>
      <c r="F25" s="27"/>
      <c r="G25" s="27"/>
    </row>
    <row r="26" spans="1:7" ht="18.75" customHeight="1">
      <c r="A26" s="17"/>
      <c r="B26" s="27"/>
      <c r="C26" s="27"/>
      <c r="D26" s="27"/>
      <c r="E26" s="27"/>
      <c r="F26" s="27"/>
      <c r="G26" s="27"/>
    </row>
    <row r="27" spans="1:7" ht="18.75" customHeight="1">
      <c r="A27" s="17"/>
      <c r="B27" s="27"/>
      <c r="C27" s="27"/>
      <c r="D27" s="27"/>
      <c r="E27" s="27"/>
      <c r="F27" s="27"/>
      <c r="G27" s="27"/>
    </row>
    <row r="28" spans="1:7" ht="18.75" customHeight="1">
      <c r="A28" s="17"/>
      <c r="B28" s="27"/>
      <c r="C28" s="27"/>
      <c r="D28" s="27"/>
      <c r="E28" s="27"/>
      <c r="F28" s="27"/>
      <c r="G28" s="27"/>
    </row>
    <row r="29" spans="1:7" ht="18.75" customHeight="1">
      <c r="A29" s="17"/>
      <c r="B29" s="27"/>
      <c r="C29" s="27"/>
      <c r="D29" s="27"/>
      <c r="E29" s="27"/>
      <c r="F29" s="27"/>
      <c r="G29" s="27"/>
    </row>
    <row r="30" spans="1:7" ht="18.75" customHeight="1">
      <c r="A30" s="17"/>
      <c r="B30" s="27"/>
      <c r="C30" s="27"/>
      <c r="D30" s="27"/>
      <c r="E30" s="27"/>
      <c r="F30" s="27"/>
      <c r="G30" s="27"/>
    </row>
    <row r="31" spans="1:7" ht="18.75" customHeight="1">
      <c r="A31" s="17"/>
      <c r="B31" s="27"/>
      <c r="C31" s="27"/>
      <c r="D31" s="27"/>
      <c r="E31" s="27"/>
      <c r="F31" s="27"/>
      <c r="G31" s="27"/>
    </row>
    <row r="32" spans="1:7" ht="18.75" customHeight="1">
      <c r="A32" s="17"/>
      <c r="B32" s="27"/>
      <c r="C32" s="27"/>
      <c r="D32" s="27"/>
      <c r="E32" s="27"/>
      <c r="F32" s="27"/>
      <c r="G32" s="27"/>
    </row>
    <row r="33" spans="1:7" ht="18.75" customHeight="1">
      <c r="A33" s="17"/>
      <c r="B33" s="27"/>
      <c r="C33" s="27"/>
      <c r="D33" s="27"/>
      <c r="E33" s="27"/>
      <c r="F33" s="27"/>
      <c r="G33" s="27"/>
    </row>
    <row r="34" spans="1:7" ht="18.75" customHeight="1">
      <c r="A34" s="17"/>
      <c r="B34" s="27"/>
      <c r="C34" s="27"/>
      <c r="D34" s="27"/>
      <c r="E34" s="27"/>
      <c r="F34" s="27"/>
      <c r="G34" s="27"/>
    </row>
    <row r="35" spans="1:7" ht="18.75" customHeight="1">
      <c r="A35" s="105"/>
      <c r="B35" s="27"/>
      <c r="C35" s="27"/>
      <c r="D35" s="27"/>
      <c r="E35" s="27"/>
      <c r="F35" s="27"/>
      <c r="G35" s="27"/>
    </row>
    <row r="36" spans="1:7" ht="18.75" customHeight="1">
      <c r="A36" s="105"/>
      <c r="B36" s="27"/>
      <c r="C36" s="27"/>
      <c r="D36" s="27"/>
      <c r="E36" s="27"/>
      <c r="F36" s="27"/>
      <c r="G36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G31"/>
  <sheetViews>
    <sheetView workbookViewId="0"/>
  </sheetViews>
  <sheetFormatPr defaultRowHeight="18.75" customHeight="1"/>
  <cols>
    <col min="1" max="1" width="34.85546875" style="105" customWidth="1"/>
    <col min="2" max="3" width="10.7109375" style="27" hidden="1" customWidth="1"/>
    <col min="4" max="7" width="10.7109375" style="27" customWidth="1"/>
    <col min="8" max="16384" width="9.140625" style="27"/>
  </cols>
  <sheetData>
    <row r="1" spans="1:7" s="48" customFormat="1" ht="18.75" customHeight="1">
      <c r="A1" s="230" t="s">
        <v>608</v>
      </c>
      <c r="B1" s="217"/>
      <c r="C1" s="202"/>
      <c r="D1" s="202"/>
      <c r="E1" s="202"/>
      <c r="F1" s="202"/>
      <c r="G1" s="202"/>
    </row>
    <row r="2" spans="1:7" ht="18.75" customHeight="1">
      <c r="A2" s="106"/>
      <c r="B2" s="51"/>
      <c r="C2" s="106"/>
      <c r="D2" s="106"/>
      <c r="E2" s="106"/>
      <c r="F2" s="106"/>
      <c r="G2" s="106"/>
    </row>
    <row r="3" spans="1:7" s="48" customFormat="1" ht="18.75" customHeight="1">
      <c r="A3" s="43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>
      <c r="A4" s="610"/>
      <c r="B4" s="264"/>
      <c r="C4" s="264"/>
      <c r="D4" s="264"/>
      <c r="E4" s="264"/>
      <c r="F4" s="264"/>
      <c r="G4" s="264"/>
    </row>
    <row r="5" spans="1:7" s="48" customFormat="1" ht="18.75" hidden="1" customHeight="1">
      <c r="A5" s="69" t="s">
        <v>327</v>
      </c>
      <c r="B5" s="68">
        <v>400</v>
      </c>
      <c r="C5" s="68"/>
      <c r="D5" s="68"/>
      <c r="E5" s="68"/>
      <c r="F5" s="68"/>
      <c r="G5" s="68"/>
    </row>
    <row r="6" spans="1:7" ht="18.75" customHeight="1">
      <c r="A6" s="69" t="s">
        <v>663</v>
      </c>
      <c r="B6" s="68">
        <v>400</v>
      </c>
      <c r="C6" s="68"/>
      <c r="D6" s="209">
        <v>1700</v>
      </c>
      <c r="E6" s="209">
        <v>4400</v>
      </c>
      <c r="F6" s="209">
        <v>5000</v>
      </c>
      <c r="G6" s="209">
        <f>2000*2</f>
        <v>4000</v>
      </c>
    </row>
    <row r="7" spans="1:7" s="48" customFormat="1" ht="18.75" customHeight="1">
      <c r="A7" s="69" t="s">
        <v>195</v>
      </c>
      <c r="B7" s="44">
        <v>600</v>
      </c>
      <c r="C7" s="44">
        <v>400</v>
      </c>
      <c r="D7" s="44">
        <v>500</v>
      </c>
      <c r="E7" s="44">
        <v>500</v>
      </c>
      <c r="F7" s="44">
        <v>800</v>
      </c>
      <c r="G7" s="44">
        <v>1000</v>
      </c>
    </row>
    <row r="8" spans="1:7" ht="16.5" customHeight="1">
      <c r="A8" s="69" t="s">
        <v>614</v>
      </c>
      <c r="B8" s="44">
        <v>1000</v>
      </c>
      <c r="C8" s="44">
        <v>500</v>
      </c>
      <c r="D8" s="44">
        <v>600</v>
      </c>
      <c r="E8" s="44">
        <v>600</v>
      </c>
      <c r="F8" s="44">
        <v>1000</v>
      </c>
      <c r="G8" s="44">
        <v>1500</v>
      </c>
    </row>
    <row r="9" spans="1:7" ht="16.5">
      <c r="A9" s="69" t="s">
        <v>116</v>
      </c>
      <c r="B9" s="44"/>
      <c r="C9" s="44">
        <v>100</v>
      </c>
      <c r="D9" s="44">
        <v>100</v>
      </c>
      <c r="E9" s="44">
        <v>100</v>
      </c>
      <c r="F9" s="44">
        <v>100</v>
      </c>
      <c r="G9" s="44">
        <v>200</v>
      </c>
    </row>
    <row r="10" spans="1:7" ht="16.5">
      <c r="A10" s="69" t="s">
        <v>676</v>
      </c>
      <c r="B10" s="68"/>
      <c r="C10" s="68"/>
      <c r="D10" s="68"/>
      <c r="E10" s="68"/>
      <c r="F10" s="68">
        <v>2000</v>
      </c>
      <c r="G10" s="68">
        <v>2500</v>
      </c>
    </row>
    <row r="11" spans="1:7" ht="16.5" customHeight="1">
      <c r="A11" s="69" t="s">
        <v>677</v>
      </c>
      <c r="B11" s="115"/>
      <c r="C11" s="115"/>
      <c r="D11" s="115"/>
      <c r="E11" s="115"/>
      <c r="F11" s="115">
        <v>2000</v>
      </c>
      <c r="G11" s="115">
        <v>2000</v>
      </c>
    </row>
    <row r="12" spans="1:7" ht="16.5" customHeight="1">
      <c r="A12" s="69"/>
      <c r="B12" s="115"/>
      <c r="C12" s="115"/>
      <c r="D12" s="115"/>
      <c r="E12" s="115"/>
      <c r="F12" s="115"/>
      <c r="G12" s="115"/>
    </row>
    <row r="13" spans="1:7" ht="16.5" customHeight="1">
      <c r="A13" s="69"/>
      <c r="B13" s="115"/>
      <c r="C13" s="115"/>
      <c r="D13" s="115"/>
      <c r="E13" s="115"/>
      <c r="F13" s="115"/>
      <c r="G13" s="115"/>
    </row>
    <row r="14" spans="1:7" ht="16.5" customHeight="1">
      <c r="A14" s="69"/>
      <c r="B14" s="115">
        <v>-1000</v>
      </c>
      <c r="C14" s="115"/>
      <c r="D14" s="115"/>
      <c r="E14" s="115"/>
      <c r="F14" s="115"/>
      <c r="G14" s="115"/>
    </row>
    <row r="15" spans="1:7" ht="18.75" customHeight="1">
      <c r="A15" s="235" t="s">
        <v>131</v>
      </c>
      <c r="B15" s="611">
        <f t="shared" ref="B15:G15" si="0">SUM(B5:B14)</f>
        <v>1400</v>
      </c>
      <c r="C15" s="611">
        <f t="shared" si="0"/>
        <v>1000</v>
      </c>
      <c r="D15" s="611">
        <f t="shared" si="0"/>
        <v>2900</v>
      </c>
      <c r="E15" s="611">
        <f t="shared" si="0"/>
        <v>5600</v>
      </c>
      <c r="F15" s="611">
        <f t="shared" si="0"/>
        <v>10900</v>
      </c>
      <c r="G15" s="611">
        <f t="shared" si="0"/>
        <v>11200</v>
      </c>
    </row>
    <row r="16" spans="1:7" ht="18.75" customHeight="1">
      <c r="A16" s="27"/>
      <c r="B16" s="119"/>
      <c r="C16" s="119"/>
      <c r="D16" s="119"/>
    </row>
    <row r="17" spans="1:2" ht="18.75" customHeight="1">
      <c r="A17" s="27"/>
      <c r="B17" s="119"/>
    </row>
    <row r="18" spans="1:2" ht="18.75" customHeight="1">
      <c r="A18" s="27"/>
      <c r="B18" s="119"/>
    </row>
    <row r="19" spans="1:2" ht="18.75" customHeight="1">
      <c r="A19" s="119"/>
    </row>
    <row r="20" spans="1:2" ht="18.75" customHeight="1">
      <c r="A20" s="119"/>
    </row>
    <row r="21" spans="1:2" ht="18.75" customHeight="1">
      <c r="A21" s="119"/>
    </row>
    <row r="22" spans="1:2" ht="18.75" customHeight="1">
      <c r="A22" s="119"/>
    </row>
    <row r="23" spans="1:2" ht="18.75" customHeight="1">
      <c r="A23" s="119"/>
    </row>
    <row r="24" spans="1:2" ht="18.75" customHeight="1">
      <c r="A24" s="119"/>
    </row>
    <row r="25" spans="1:2" ht="18.75" customHeight="1">
      <c r="A25" s="119"/>
    </row>
    <row r="26" spans="1:2" ht="18.75" customHeight="1">
      <c r="A26" s="119"/>
    </row>
    <row r="27" spans="1:2" ht="18.75" customHeight="1">
      <c r="A27" s="119"/>
    </row>
    <row r="28" spans="1:2" ht="18.75" customHeight="1">
      <c r="A28" s="119"/>
    </row>
    <row r="29" spans="1:2" ht="18.75" customHeight="1">
      <c r="A29" s="119"/>
    </row>
    <row r="30" spans="1:2" ht="18.75" customHeight="1">
      <c r="A30" s="119"/>
    </row>
    <row r="31" spans="1:2" ht="18.75" customHeight="1">
      <c r="A31" s="119"/>
    </row>
  </sheetData>
  <sortState ref="A5:E10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19"/>
  <sheetViews>
    <sheetView zoomScaleNormal="100" workbookViewId="0">
      <pane ySplit="3" topLeftCell="A4" activePane="bottomLeft" state="frozen"/>
      <selection pane="bottomLeft"/>
    </sheetView>
  </sheetViews>
  <sheetFormatPr defaultRowHeight="18.75" customHeight="1"/>
  <cols>
    <col min="1" max="1" width="29.85546875" style="66" customWidth="1"/>
    <col min="2" max="3" width="9.28515625" style="26" hidden="1" customWidth="1"/>
    <col min="4" max="4" width="9.140625" style="26"/>
    <col min="5" max="5" width="8.85546875" style="26" customWidth="1"/>
    <col min="6" max="7" width="9.140625" style="26"/>
    <col min="8" max="8" width="9.7109375" style="26" customWidth="1"/>
    <col min="9" max="9" width="11.28515625" style="26" bestFit="1" customWidth="1"/>
    <col min="10" max="16384" width="9.140625" style="26"/>
  </cols>
  <sheetData>
    <row r="1" spans="1:9" s="101" customFormat="1" ht="18.75" customHeight="1">
      <c r="A1" s="785" t="s">
        <v>207</v>
      </c>
      <c r="B1" s="223"/>
      <c r="C1" s="223"/>
      <c r="D1" s="99"/>
      <c r="E1" s="725"/>
      <c r="F1" s="725"/>
      <c r="G1" s="223"/>
      <c r="H1" s="224"/>
    </row>
    <row r="2" spans="1:9" ht="18.75" customHeight="1">
      <c r="A2" s="134"/>
      <c r="B2" s="73"/>
      <c r="C2" s="73"/>
      <c r="D2" s="54"/>
      <c r="E2" s="726"/>
      <c r="F2" s="726"/>
      <c r="G2" s="73"/>
      <c r="H2" s="225"/>
    </row>
    <row r="3" spans="1:9" s="101" customFormat="1" ht="18.75" customHeight="1">
      <c r="A3" s="37" t="s">
        <v>133</v>
      </c>
      <c r="B3" s="32">
        <v>2010</v>
      </c>
      <c r="C3" s="32">
        <v>2013</v>
      </c>
      <c r="D3" s="727">
        <v>2014</v>
      </c>
      <c r="E3" s="727">
        <v>2015</v>
      </c>
      <c r="F3" s="727">
        <v>2016</v>
      </c>
      <c r="G3" s="949">
        <v>2016</v>
      </c>
      <c r="H3" s="950"/>
    </row>
    <row r="4" spans="1:9" s="101" customFormat="1" ht="18.75" customHeight="1">
      <c r="A4" s="139"/>
      <c r="B4" s="54"/>
      <c r="C4" s="54"/>
      <c r="D4" s="726"/>
      <c r="E4" s="726"/>
      <c r="F4" s="726"/>
      <c r="G4" s="73"/>
      <c r="H4" s="225"/>
    </row>
    <row r="5" spans="1:9" s="101" customFormat="1" ht="32.25" customHeight="1">
      <c r="A5" s="37"/>
      <c r="B5" s="462" t="s">
        <v>356</v>
      </c>
      <c r="C5" s="462" t="s">
        <v>356</v>
      </c>
      <c r="D5" s="728" t="s">
        <v>356</v>
      </c>
      <c r="E5" s="728" t="s">
        <v>356</v>
      </c>
      <c r="F5" s="728" t="s">
        <v>356</v>
      </c>
      <c r="G5" s="465" t="s">
        <v>214</v>
      </c>
      <c r="H5" s="358" t="s">
        <v>215</v>
      </c>
    </row>
    <row r="6" spans="1:9" s="101" customFormat="1" ht="18.75" customHeight="1">
      <c r="A6" s="38"/>
      <c r="B6" s="204"/>
      <c r="C6" s="204"/>
      <c r="D6" s="729"/>
      <c r="E6" s="729"/>
      <c r="F6" s="729"/>
      <c r="G6" s="41"/>
      <c r="H6" s="359"/>
    </row>
    <row r="7" spans="1:9" s="101" customFormat="1" ht="18.75" customHeight="1">
      <c r="A7" s="40"/>
      <c r="B7" s="204"/>
      <c r="C7" s="204"/>
      <c r="D7" s="729"/>
      <c r="E7" s="729"/>
      <c r="F7" s="729"/>
      <c r="G7" s="41"/>
      <c r="H7" s="359"/>
    </row>
    <row r="8" spans="1:9" s="101" customFormat="1" ht="18.75" customHeight="1">
      <c r="A8" s="213" t="s">
        <v>81</v>
      </c>
      <c r="B8" s="463">
        <v>90983.05</v>
      </c>
      <c r="C8" s="806">
        <f>75858.38+15124.67</f>
        <v>90983.05</v>
      </c>
      <c r="D8" s="806">
        <v>90982</v>
      </c>
      <c r="E8" s="730">
        <v>90982</v>
      </c>
      <c r="F8" s="856">
        <f>86940+4043</f>
        <v>90983</v>
      </c>
      <c r="G8" s="908"/>
      <c r="H8" s="909"/>
      <c r="I8" s="745"/>
    </row>
    <row r="9" spans="1:9" s="101" customFormat="1" ht="18.75" customHeight="1">
      <c r="A9" s="213" t="s">
        <v>296</v>
      </c>
      <c r="B9" s="334">
        <v>40462.18</v>
      </c>
      <c r="C9" s="731">
        <f>24672.6+15244.87</f>
        <v>39917.47</v>
      </c>
      <c r="D9" s="334">
        <v>39917</v>
      </c>
      <c r="E9" s="334">
        <f>26307+13610</f>
        <v>39917</v>
      </c>
      <c r="F9" s="811">
        <f>27130+12787</f>
        <v>39917</v>
      </c>
      <c r="G9" s="910"/>
      <c r="H9" s="911"/>
      <c r="I9" s="745"/>
    </row>
    <row r="10" spans="1:9" ht="18.75" hidden="1" customHeight="1">
      <c r="A10" s="213" t="s">
        <v>615</v>
      </c>
      <c r="B10" s="334"/>
      <c r="C10" s="731">
        <f>3979.9+340.1</f>
        <v>4320</v>
      </c>
      <c r="D10" s="731">
        <v>2521</v>
      </c>
      <c r="E10" s="955" t="s">
        <v>541</v>
      </c>
      <c r="F10" s="883"/>
      <c r="G10" s="953" t="s">
        <v>541</v>
      </c>
      <c r="H10" s="954"/>
      <c r="I10" s="746"/>
    </row>
    <row r="11" spans="1:9" ht="18.75" hidden="1" customHeight="1">
      <c r="A11" s="213"/>
      <c r="B11" s="334"/>
      <c r="C11" s="731"/>
      <c r="D11" s="334"/>
      <c r="E11" s="956"/>
      <c r="F11" s="884"/>
      <c r="G11" s="895"/>
      <c r="H11" s="896"/>
    </row>
    <row r="12" spans="1:9" ht="18.75" customHeight="1">
      <c r="A12" s="213" t="s">
        <v>616</v>
      </c>
      <c r="B12" s="334"/>
      <c r="C12" s="731"/>
      <c r="D12" s="212">
        <f>(110000*2)+70000</f>
        <v>290000</v>
      </c>
      <c r="E12" s="212"/>
      <c r="F12" s="212">
        <v>775000</v>
      </c>
      <c r="G12" s="895">
        <v>695000</v>
      </c>
      <c r="H12" s="896"/>
    </row>
    <row r="13" spans="1:9" ht="18.75" customHeight="1" thickBot="1">
      <c r="A13" s="466"/>
      <c r="B13" s="354">
        <v>1800</v>
      </c>
      <c r="C13" s="732"/>
      <c r="D13" s="732"/>
      <c r="E13" s="732"/>
      <c r="F13" s="732"/>
      <c r="G13" s="897"/>
      <c r="H13" s="898"/>
    </row>
    <row r="14" spans="1:9" s="101" customFormat="1" ht="18.75" customHeight="1" thickTop="1">
      <c r="A14" s="96" t="s">
        <v>131</v>
      </c>
      <c r="B14" s="464">
        <f t="shared" ref="B14" si="0">SUM(B6:B13)</f>
        <v>133245.23000000001</v>
      </c>
      <c r="C14" s="464">
        <f>SUM(C6:C13)</f>
        <v>135220.52000000002</v>
      </c>
      <c r="D14" s="464">
        <f>SUM(D6:D13)</f>
        <v>423420</v>
      </c>
      <c r="E14" s="733">
        <f>SUM(E6:E13)</f>
        <v>130899</v>
      </c>
      <c r="F14" s="733">
        <f>SUM(F8:F12)</f>
        <v>905900</v>
      </c>
      <c r="G14" s="899">
        <f>SUM(G6:G13)</f>
        <v>695000</v>
      </c>
      <c r="H14" s="900">
        <f>SUM(H6:H13)</f>
        <v>0</v>
      </c>
    </row>
    <row r="15" spans="1:9" ht="18.75" customHeight="1">
      <c r="A15" s="105"/>
      <c r="G15" s="951" t="s">
        <v>416</v>
      </c>
      <c r="H15" s="951"/>
    </row>
    <row r="16" spans="1:9" ht="18.75" customHeight="1">
      <c r="G16" s="952">
        <f>G14+H14</f>
        <v>695000</v>
      </c>
      <c r="H16" s="952"/>
    </row>
    <row r="17" spans="1:1" ht="18.75" customHeight="1">
      <c r="A17" s="98" t="s">
        <v>257</v>
      </c>
    </row>
    <row r="18" spans="1:1" ht="18.75" customHeight="1">
      <c r="A18" s="98" t="s">
        <v>698</v>
      </c>
    </row>
    <row r="19" spans="1:1" ht="18.75" customHeight="1">
      <c r="A19" s="103" t="s">
        <v>697</v>
      </c>
    </row>
  </sheetData>
  <sortState ref="A14:G15">
    <sortCondition descending="1" ref="A14:A15"/>
  </sortState>
  <mergeCells count="5">
    <mergeCell ref="G3:H3"/>
    <mergeCell ref="G15:H15"/>
    <mergeCell ref="G16:H16"/>
    <mergeCell ref="G10:H10"/>
    <mergeCell ref="E10:E11"/>
  </mergeCells>
  <phoneticPr fontId="19" type="noConversion"/>
  <printOptions horizontalCentered="1"/>
  <pageMargins left="0.75" right="0.5" top="1" bottom="1" header="0.75" footer="0.5"/>
  <pageSetup scale="99" orientation="portrait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27.28515625" style="105" customWidth="1"/>
    <col min="2" max="3" width="12.28515625" style="27" hidden="1" customWidth="1"/>
    <col min="4" max="7" width="12.28515625" style="27" customWidth="1"/>
    <col min="8" max="16384" width="9.140625" style="27"/>
  </cols>
  <sheetData>
    <row r="1" spans="1:7" s="48" customFormat="1" ht="18" customHeight="1">
      <c r="A1" s="784" t="s">
        <v>573</v>
      </c>
      <c r="B1" s="202"/>
      <c r="C1" s="202"/>
      <c r="D1" s="202"/>
      <c r="E1" s="202"/>
      <c r="F1" s="202"/>
      <c r="G1" s="202"/>
    </row>
    <row r="2" spans="1:7" ht="18" customHeight="1">
      <c r="A2" s="134"/>
      <c r="B2" s="106"/>
      <c r="C2" s="106"/>
      <c r="D2" s="106"/>
      <c r="E2" s="106"/>
      <c r="F2" s="106"/>
      <c r="G2" s="106"/>
    </row>
    <row r="3" spans="1:7" s="48" customFormat="1" ht="18" customHeight="1">
      <c r="A3" s="37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" customHeight="1">
      <c r="A4" s="139"/>
      <c r="B4" s="109"/>
      <c r="C4" s="109"/>
      <c r="D4" s="109"/>
      <c r="E4" s="109"/>
      <c r="F4" s="109"/>
      <c r="G4" s="109"/>
    </row>
    <row r="5" spans="1:7" s="48" customFormat="1" ht="18" customHeight="1">
      <c r="A5" s="37"/>
      <c r="B5" s="43"/>
      <c r="C5" s="43"/>
      <c r="D5" s="43"/>
      <c r="E5" s="43"/>
      <c r="F5" s="43"/>
      <c r="G5" s="43"/>
    </row>
    <row r="6" spans="1:7" ht="18" customHeight="1">
      <c r="A6" s="39" t="s">
        <v>225</v>
      </c>
      <c r="B6" s="44">
        <v>4500</v>
      </c>
      <c r="C6" s="44">
        <v>3200</v>
      </c>
      <c r="D6" s="44">
        <v>3200</v>
      </c>
      <c r="E6" s="44">
        <f>100*12</f>
        <v>1200</v>
      </c>
      <c r="F6" s="44">
        <f>105*12</f>
        <v>1260</v>
      </c>
      <c r="G6" s="44">
        <f>105*12</f>
        <v>1260</v>
      </c>
    </row>
    <row r="7" spans="1:7" ht="18" customHeight="1">
      <c r="A7" s="573"/>
      <c r="B7" s="44"/>
      <c r="C7" s="44"/>
      <c r="D7" s="44"/>
      <c r="E7" s="44"/>
      <c r="F7" s="44"/>
      <c r="G7" s="735"/>
    </row>
    <row r="8" spans="1:7" ht="18" customHeight="1">
      <c r="A8" s="574"/>
      <c r="B8" s="516"/>
      <c r="C8" s="516"/>
      <c r="D8" s="516"/>
      <c r="E8" s="516"/>
      <c r="F8" s="516"/>
      <c r="G8" s="893"/>
    </row>
    <row r="9" spans="1:7" ht="18" customHeight="1">
      <c r="A9" s="574"/>
      <c r="B9" s="516"/>
      <c r="C9" s="516"/>
      <c r="D9" s="516"/>
      <c r="E9" s="516"/>
      <c r="F9" s="516"/>
      <c r="G9" s="893"/>
    </row>
    <row r="10" spans="1:7" ht="18" customHeight="1" thickBot="1">
      <c r="A10" s="574"/>
      <c r="B10" s="516">
        <v>-556.55999999999995</v>
      </c>
      <c r="C10" s="516"/>
      <c r="D10" s="516"/>
      <c r="E10" s="516"/>
      <c r="F10" s="516"/>
      <c r="G10" s="893"/>
    </row>
    <row r="11" spans="1:7" ht="18" customHeight="1" thickTop="1">
      <c r="A11" s="96" t="s">
        <v>131</v>
      </c>
      <c r="B11" s="46">
        <f>SUM(B4:B10)</f>
        <v>3943.44</v>
      </c>
      <c r="C11" s="46">
        <f t="shared" ref="C11:E11" si="0">SUM(C4:C10)</f>
        <v>3200</v>
      </c>
      <c r="D11" s="46">
        <f t="shared" si="0"/>
        <v>3200</v>
      </c>
      <c r="E11" s="46">
        <f t="shared" si="0"/>
        <v>1200</v>
      </c>
      <c r="F11" s="46">
        <f t="shared" ref="F11:G11" si="1">SUM(F4:F10)</f>
        <v>1260</v>
      </c>
      <c r="G11" s="894">
        <f t="shared" si="1"/>
        <v>1260</v>
      </c>
    </row>
    <row r="12" spans="1:7" ht="18.75" customHeight="1">
      <c r="B12" s="137"/>
    </row>
    <row r="13" spans="1:7" ht="18.75" customHeight="1">
      <c r="A13" s="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8.42578125" style="105" customWidth="1"/>
    <col min="2" max="3" width="12.28515625" style="27" hidden="1" customWidth="1"/>
    <col min="4" max="7" width="12.28515625" style="27" customWidth="1"/>
    <col min="8" max="16384" width="9.140625" style="27"/>
  </cols>
  <sheetData>
    <row r="1" spans="1:7" s="48" customFormat="1" ht="18.75" customHeight="1">
      <c r="A1" s="784" t="s">
        <v>572</v>
      </c>
      <c r="B1" s="202"/>
      <c r="C1" s="202"/>
      <c r="D1" s="202"/>
      <c r="E1" s="202"/>
      <c r="F1" s="202"/>
      <c r="G1" s="202"/>
    </row>
    <row r="2" spans="1:7" ht="11.25" customHeight="1">
      <c r="A2" s="134"/>
      <c r="B2" s="106"/>
      <c r="C2" s="106"/>
      <c r="D2" s="106"/>
      <c r="E2" s="106"/>
      <c r="F2" s="106"/>
      <c r="G2" s="106"/>
    </row>
    <row r="3" spans="1:7" s="48" customFormat="1" ht="18.75" customHeight="1">
      <c r="A3" s="37" t="s">
        <v>133</v>
      </c>
      <c r="B3" s="43">
        <v>2010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</row>
    <row r="4" spans="1:7" s="131" customFormat="1" ht="18.75" customHeight="1">
      <c r="A4" s="222"/>
      <c r="B4" s="125"/>
      <c r="C4" s="125"/>
      <c r="D4" s="125"/>
      <c r="E4" s="125"/>
      <c r="F4" s="125"/>
      <c r="G4" s="125"/>
    </row>
    <row r="5" spans="1:7" s="131" customFormat="1" ht="16.5">
      <c r="A5" s="40" t="s">
        <v>84</v>
      </c>
      <c r="B5" s="204">
        <v>1000</v>
      </c>
      <c r="C5" s="204">
        <v>1500</v>
      </c>
      <c r="D5" s="204">
        <v>1500</v>
      </c>
      <c r="E5" s="204">
        <v>2000</v>
      </c>
      <c r="F5" s="204">
        <v>2000</v>
      </c>
      <c r="G5" s="204">
        <v>3000</v>
      </c>
    </row>
    <row r="6" spans="1:7" s="131" customFormat="1" ht="19.5" customHeight="1">
      <c r="A6" s="299" t="s">
        <v>704</v>
      </c>
      <c r="B6" s="204">
        <v>13400</v>
      </c>
      <c r="C6" s="204">
        <v>13672.8</v>
      </c>
      <c r="D6" s="204">
        <f>45*25.32*12</f>
        <v>13672.800000000001</v>
      </c>
      <c r="E6" s="204">
        <f>47*25.32*12</f>
        <v>14280.48</v>
      </c>
      <c r="F6" s="245">
        <f>55*25.32*12</f>
        <v>16711.199999999997</v>
      </c>
      <c r="G6" s="245">
        <f>75*23.37*12</f>
        <v>21033</v>
      </c>
    </row>
    <row r="7" spans="1:7" s="131" customFormat="1" ht="18.75" customHeight="1">
      <c r="A7" s="40" t="s">
        <v>85</v>
      </c>
      <c r="B7" s="204">
        <v>10500</v>
      </c>
      <c r="C7" s="204">
        <v>13200</v>
      </c>
      <c r="D7" s="204">
        <f>24*600</f>
        <v>14400</v>
      </c>
      <c r="E7" s="204">
        <f>24*700</f>
        <v>16800</v>
      </c>
      <c r="F7" s="245">
        <f>24*700</f>
        <v>16800</v>
      </c>
      <c r="G7" s="245">
        <f>26.4*750</f>
        <v>19800</v>
      </c>
    </row>
    <row r="8" spans="1:7" s="131" customFormat="1" ht="18.75" customHeight="1">
      <c r="A8" s="40" t="s">
        <v>85</v>
      </c>
      <c r="B8" s="204">
        <v>10500</v>
      </c>
      <c r="C8" s="204">
        <v>13200</v>
      </c>
      <c r="D8" s="204">
        <f>24*600</f>
        <v>14400</v>
      </c>
      <c r="E8" s="204">
        <f>24*700</f>
        <v>16800</v>
      </c>
      <c r="F8" s="245">
        <f>24*700</f>
        <v>16800</v>
      </c>
      <c r="G8" s="245">
        <f>26.4*750</f>
        <v>19800</v>
      </c>
    </row>
    <row r="9" spans="1:7" s="131" customFormat="1" ht="18.75" customHeight="1">
      <c r="A9" s="40" t="s">
        <v>117</v>
      </c>
      <c r="B9" s="59">
        <v>4200</v>
      </c>
      <c r="C9" s="59">
        <v>4800</v>
      </c>
      <c r="D9" s="59">
        <f>50*11*12</f>
        <v>6600</v>
      </c>
      <c r="E9" s="63">
        <f>50*12*12</f>
        <v>7200</v>
      </c>
      <c r="F9" s="63">
        <f>55*12*12</f>
        <v>7920</v>
      </c>
      <c r="G9" s="63">
        <f>55*12*12</f>
        <v>7920</v>
      </c>
    </row>
    <row r="10" spans="1:7" s="131" customFormat="1" ht="18.75" customHeight="1">
      <c r="A10" s="40" t="s">
        <v>86</v>
      </c>
      <c r="B10" s="59">
        <v>1200</v>
      </c>
      <c r="C10" s="59">
        <v>2200</v>
      </c>
      <c r="D10" s="59">
        <f>11*400</f>
        <v>4400</v>
      </c>
      <c r="E10" s="63">
        <f>12*400</f>
        <v>4800</v>
      </c>
      <c r="F10" s="63">
        <f>400*12</f>
        <v>4800</v>
      </c>
      <c r="G10" s="63">
        <f>500*12</f>
        <v>6000</v>
      </c>
    </row>
    <row r="11" spans="1:7" s="131" customFormat="1" ht="18.75" customHeight="1">
      <c r="A11" s="301" t="s">
        <v>744</v>
      </c>
      <c r="B11" s="303">
        <v>3000</v>
      </c>
      <c r="C11" s="303">
        <v>0</v>
      </c>
      <c r="D11" s="303">
        <v>0</v>
      </c>
      <c r="E11" s="792">
        <v>7000</v>
      </c>
      <c r="F11" s="792">
        <f>7200*7</f>
        <v>50400</v>
      </c>
      <c r="G11" s="792">
        <f>8500*9</f>
        <v>76500</v>
      </c>
    </row>
    <row r="12" spans="1:7" s="48" customFormat="1" ht="18.75" customHeight="1">
      <c r="A12" s="301" t="s">
        <v>487</v>
      </c>
      <c r="B12" s="59">
        <v>10000</v>
      </c>
      <c r="C12" s="59">
        <v>2000</v>
      </c>
      <c r="D12" s="59">
        <v>4000</v>
      </c>
      <c r="E12" s="63">
        <v>5000</v>
      </c>
      <c r="F12" s="63"/>
      <c r="G12" s="63"/>
    </row>
    <row r="13" spans="1:7" s="48" customFormat="1" ht="18.75" customHeight="1">
      <c r="A13" s="301" t="s">
        <v>441</v>
      </c>
      <c r="B13" s="59"/>
      <c r="C13" s="59">
        <v>1000</v>
      </c>
      <c r="D13" s="59">
        <v>1000</v>
      </c>
      <c r="E13" s="59">
        <f>600*2</f>
        <v>1200</v>
      </c>
      <c r="F13" s="63">
        <f>600*2</f>
        <v>1200</v>
      </c>
      <c r="G13" s="63">
        <f>800*2</f>
        <v>1600</v>
      </c>
    </row>
    <row r="14" spans="1:7" s="48" customFormat="1" ht="18.75" customHeight="1">
      <c r="A14" s="301" t="s">
        <v>703</v>
      </c>
      <c r="B14" s="59"/>
      <c r="C14" s="59">
        <v>20000</v>
      </c>
      <c r="D14" s="59">
        <v>26000</v>
      </c>
      <c r="E14" s="59">
        <f>6000</f>
        <v>6000</v>
      </c>
      <c r="F14" s="59">
        <v>12000</v>
      </c>
      <c r="G14" s="59">
        <v>12000</v>
      </c>
    </row>
    <row r="15" spans="1:7" s="48" customFormat="1" ht="18.75" customHeight="1">
      <c r="A15" s="301" t="s">
        <v>634</v>
      </c>
      <c r="B15" s="59"/>
      <c r="C15" s="59"/>
      <c r="D15" s="59"/>
      <c r="E15" s="59"/>
      <c r="F15" s="59">
        <f>23*400</f>
        <v>9200</v>
      </c>
      <c r="G15" s="63"/>
    </row>
    <row r="16" spans="1:7" s="48" customFormat="1" ht="18.75" customHeight="1">
      <c r="A16" s="301" t="s">
        <v>755</v>
      </c>
      <c r="B16" s="59"/>
      <c r="C16" s="59"/>
      <c r="D16" s="59"/>
      <c r="E16" s="59"/>
      <c r="F16" s="59"/>
      <c r="G16" s="63">
        <f>6900*2</f>
        <v>13800</v>
      </c>
    </row>
    <row r="17" spans="1:7" s="48" customFormat="1" ht="18.75" customHeight="1" thickBot="1">
      <c r="A17" s="301"/>
      <c r="B17" s="59"/>
      <c r="C17" s="59"/>
      <c r="D17" s="59"/>
      <c r="E17" s="59"/>
      <c r="F17" s="59"/>
      <c r="G17" s="63"/>
    </row>
    <row r="18" spans="1:7" s="48" customFormat="1" ht="18.75" customHeight="1" thickTop="1">
      <c r="A18" s="142" t="s">
        <v>131</v>
      </c>
      <c r="B18" s="304">
        <f t="shared" ref="B18:G18" si="0">SUM(B4:B17)</f>
        <v>53800</v>
      </c>
      <c r="C18" s="304">
        <f t="shared" si="0"/>
        <v>71572.800000000003</v>
      </c>
      <c r="D18" s="304">
        <f t="shared" si="0"/>
        <v>85972.800000000003</v>
      </c>
      <c r="E18" s="304">
        <f t="shared" si="0"/>
        <v>81080.479999999996</v>
      </c>
      <c r="F18" s="304">
        <f t="shared" si="0"/>
        <v>137831.20000000001</v>
      </c>
      <c r="G18" s="892">
        <f t="shared" si="0"/>
        <v>181453</v>
      </c>
    </row>
    <row r="19" spans="1:7" s="48" customFormat="1" ht="16.5">
      <c r="A19" s="17"/>
    </row>
    <row r="20" spans="1:7" ht="12.95" customHeight="1">
      <c r="A20" s="17"/>
    </row>
    <row r="21" spans="1:7" ht="12.95" customHeight="1">
      <c r="A21" s="17" t="s">
        <v>754</v>
      </c>
      <c r="G21" s="27">
        <f>6900*2</f>
        <v>13800</v>
      </c>
    </row>
    <row r="22" spans="1:7" ht="12.95" customHeight="1">
      <c r="A22" s="17"/>
    </row>
    <row r="23" spans="1:7" ht="12.95" customHeight="1">
      <c r="A23" s="17"/>
    </row>
    <row r="24" spans="1:7" s="48" customFormat="1" ht="12.95" customHeight="1">
      <c r="A24" s="17"/>
    </row>
    <row r="25" spans="1:7" ht="12.95" customHeight="1">
      <c r="A25" s="17"/>
    </row>
    <row r="26" spans="1:7" ht="12.95" customHeight="1">
      <c r="A26" s="17"/>
    </row>
    <row r="27" spans="1:7" ht="12.95" customHeight="1">
      <c r="A27" s="17"/>
    </row>
    <row r="28" spans="1:7" ht="12.95" customHeight="1">
      <c r="A28" s="27"/>
    </row>
    <row r="29" spans="1:7" ht="12.95" customHeight="1">
      <c r="A29" s="27"/>
      <c r="B29" s="42"/>
    </row>
    <row r="30" spans="1:7" ht="12.95" customHeight="1">
      <c r="A30" s="27"/>
      <c r="B30" s="42"/>
    </row>
    <row r="31" spans="1:7" ht="12.95" customHeight="1">
      <c r="A31" s="27"/>
      <c r="B31" s="42"/>
    </row>
    <row r="32" spans="1:7" ht="18.75" customHeight="1">
      <c r="A32" s="17"/>
    </row>
    <row r="33" spans="1:1" ht="18.75" customHeight="1">
      <c r="A33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9"/>
  <sheetViews>
    <sheetView workbookViewId="0"/>
  </sheetViews>
  <sheetFormatPr defaultRowHeight="16.5"/>
  <cols>
    <col min="1" max="1" width="28.85546875" style="119" customWidth="1"/>
    <col min="2" max="3" width="11.7109375" style="119" hidden="1" customWidth="1"/>
    <col min="4" max="4" width="11.7109375" style="119" customWidth="1"/>
    <col min="5" max="7" width="12" style="119" customWidth="1"/>
    <col min="8" max="16384" width="9.140625" style="119"/>
  </cols>
  <sheetData>
    <row r="1" spans="1:7" ht="22.5" customHeight="1">
      <c r="A1" s="784" t="s">
        <v>571</v>
      </c>
      <c r="B1" s="202"/>
      <c r="C1" s="202"/>
      <c r="D1" s="202"/>
      <c r="E1" s="220"/>
      <c r="F1" s="220"/>
      <c r="G1" s="220"/>
    </row>
    <row r="2" spans="1:7">
      <c r="A2" s="134"/>
      <c r="B2" s="106"/>
      <c r="C2" s="106"/>
      <c r="D2" s="106"/>
      <c r="E2" s="51"/>
      <c r="F2" s="51"/>
      <c r="G2" s="51"/>
    </row>
    <row r="3" spans="1:7">
      <c r="A3" s="37" t="s">
        <v>133</v>
      </c>
      <c r="B3" s="43">
        <v>2010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</row>
    <row r="4" spans="1:7">
      <c r="A4" s="139"/>
      <c r="B4" s="109"/>
      <c r="C4" s="107"/>
      <c r="D4" s="107"/>
      <c r="E4" s="107"/>
      <c r="F4" s="107"/>
      <c r="G4" s="107"/>
    </row>
    <row r="5" spans="1:7">
      <c r="A5" s="133"/>
      <c r="B5" s="106"/>
      <c r="C5" s="127"/>
      <c r="D5" s="127"/>
      <c r="E5" s="127"/>
      <c r="F5" s="127"/>
      <c r="G5" s="127"/>
    </row>
    <row r="6" spans="1:7">
      <c r="A6" s="39" t="s">
        <v>162</v>
      </c>
      <c r="B6" s="44">
        <v>40000</v>
      </c>
      <c r="C6" s="51">
        <v>40000</v>
      </c>
      <c r="D6" s="737">
        <v>40000</v>
      </c>
      <c r="E6" s="737">
        <v>30000</v>
      </c>
      <c r="F6" s="737">
        <v>30000</v>
      </c>
      <c r="G6" s="737">
        <v>30000</v>
      </c>
    </row>
    <row r="7" spans="1:7">
      <c r="A7" s="39"/>
      <c r="B7" s="44"/>
      <c r="C7" s="127"/>
      <c r="D7" s="127"/>
      <c r="E7" s="127"/>
      <c r="F7" s="127"/>
      <c r="G7" s="891"/>
    </row>
    <row r="8" spans="1:7" ht="17.25" thickBot="1">
      <c r="A8" s="681"/>
      <c r="B8" s="355">
        <v>-8500</v>
      </c>
      <c r="C8" s="258"/>
      <c r="D8" s="258"/>
      <c r="E8" s="258"/>
      <c r="F8" s="258"/>
      <c r="G8" s="798"/>
    </row>
    <row r="9" spans="1:7" ht="17.25" thickTop="1">
      <c r="A9" s="96" t="s">
        <v>131</v>
      </c>
      <c r="B9" s="46">
        <f t="shared" ref="B9:G9" si="0">SUM(B4:B8)</f>
        <v>31500</v>
      </c>
      <c r="C9" s="141">
        <f t="shared" si="0"/>
        <v>40000</v>
      </c>
      <c r="D9" s="141">
        <f t="shared" si="0"/>
        <v>40000</v>
      </c>
      <c r="E9" s="141">
        <f t="shared" si="0"/>
        <v>30000</v>
      </c>
      <c r="F9" s="141">
        <f t="shared" si="0"/>
        <v>30000</v>
      </c>
      <c r="G9" s="889">
        <f t="shared" si="0"/>
        <v>30000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</vt:i4>
      </vt:variant>
    </vt:vector>
  </HeadingPairs>
  <TitlesOfParts>
    <vt:vector size="52" baseType="lpstr">
      <vt:lpstr>CATEGORY PAGE</vt:lpstr>
      <vt:lpstr>REVENUE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 &amp; COMM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PAYROLL</vt:lpstr>
      <vt:lpstr>642 INDIV PAYROLL</vt:lpstr>
      <vt:lpstr>642 FF RATES</vt:lpstr>
      <vt:lpstr>642 LONGEVITY</vt:lpstr>
      <vt:lpstr>642 CERT PAY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J. Wittig</cp:lastModifiedBy>
  <cp:lastPrinted>2016-08-23T01:56:06Z</cp:lastPrinted>
  <dcterms:created xsi:type="dcterms:W3CDTF">2002-06-05T21:07:58Z</dcterms:created>
  <dcterms:modified xsi:type="dcterms:W3CDTF">2016-08-23T02:01:56Z</dcterms:modified>
</cp:coreProperties>
</file>